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0" yWindow="0" windowWidth="20730" windowHeight="11760"/>
  </bookViews>
  <sheets>
    <sheet name="Business Structure" sheetId="2" r:id="rId1"/>
    <sheet name="Tax Calculations" sheetId="3" r:id="rId2"/>
  </sheets>
  <definedNames>
    <definedName name="Individual_Income_Tax_Rates">'Tax Calculations'!$B$10:$B$15</definedName>
    <definedName name="Net_income_for_business">'Business Structure'!$C$11</definedName>
  </definedNames>
  <calcPr calcId="145621" calcOnSave="0"/>
</workbook>
</file>

<file path=xl/calcChain.xml><?xml version="1.0" encoding="utf-8"?>
<calcChain xmlns="http://schemas.openxmlformats.org/spreadsheetml/2006/main">
  <c r="C12" i="2" l="1"/>
  <c r="B4" i="3"/>
  <c r="B2" i="3"/>
  <c r="B29" i="3" l="1"/>
  <c r="I45" i="3" l="1"/>
  <c r="J45" i="3" s="1"/>
  <c r="I44" i="3"/>
  <c r="J44" i="3" s="1"/>
  <c r="I43" i="3"/>
  <c r="J43" i="3" s="1"/>
  <c r="I42" i="3"/>
  <c r="J42" i="3" s="1"/>
  <c r="I41" i="3"/>
  <c r="J41" i="3" s="1"/>
  <c r="I40" i="3"/>
  <c r="I39" i="3"/>
  <c r="J39" i="3" s="1"/>
  <c r="I38" i="3"/>
  <c r="J38" i="3" s="1"/>
  <c r="C34" i="3"/>
  <c r="C33" i="3"/>
  <c r="I23" i="3"/>
  <c r="G23" i="3"/>
  <c r="E23" i="3"/>
  <c r="D23" i="3"/>
  <c r="I22" i="3"/>
  <c r="C44" i="2"/>
  <c r="C48" i="2" s="1"/>
  <c r="G29" i="2"/>
  <c r="G28" i="2"/>
  <c r="G31" i="2" s="1"/>
  <c r="G27" i="2"/>
  <c r="F27" i="2"/>
  <c r="E27" i="2"/>
  <c r="G23" i="2"/>
  <c r="F20" i="2"/>
  <c r="E20" i="2"/>
  <c r="D20" i="2"/>
  <c r="C20" i="2"/>
  <c r="C21" i="2" s="1"/>
  <c r="G32" i="2"/>
  <c r="G35" i="2" l="1"/>
  <c r="G44" i="2" s="1"/>
  <c r="C58" i="2"/>
  <c r="C56" i="2"/>
  <c r="C55" i="2"/>
  <c r="C53" i="2"/>
  <c r="C41" i="2"/>
  <c r="C39" i="2"/>
  <c r="E51" i="2"/>
  <c r="G51" i="2" s="1"/>
  <c r="C28" i="2"/>
  <c r="G37" i="2"/>
  <c r="E32" i="2"/>
  <c r="C27" i="2"/>
  <c r="G40" i="2"/>
  <c r="F35" i="2"/>
  <c r="F44" i="2" s="1"/>
  <c r="F48" i="2" s="1"/>
  <c r="I46" i="3"/>
  <c r="I24" i="3"/>
  <c r="I25" i="3" s="1"/>
  <c r="I26" i="3" s="1"/>
  <c r="D28" i="2"/>
  <c r="J40" i="3"/>
  <c r="J46" i="3" s="1"/>
  <c r="E47" i="2"/>
  <c r="G47" i="2" s="1"/>
  <c r="D21" i="2"/>
  <c r="C29" i="2"/>
  <c r="C31" i="2" s="1"/>
  <c r="E39" i="2"/>
  <c r="E35" i="2"/>
  <c r="E44" i="2" s="1"/>
  <c r="D27" i="2"/>
  <c r="D35" i="2" s="1"/>
  <c r="D44" i="2" s="1"/>
  <c r="D48" i="2" s="1"/>
  <c r="F28" i="2"/>
  <c r="F40" i="2" s="1"/>
  <c r="E52" i="2"/>
  <c r="G52" i="2" s="1"/>
  <c r="E31" i="2"/>
  <c r="E40" i="2"/>
  <c r="F21" i="2"/>
  <c r="D29" i="2"/>
  <c r="E37" i="2"/>
  <c r="D40" i="2" l="1"/>
  <c r="D22" i="3"/>
  <c r="D24" i="3" s="1"/>
  <c r="D25" i="3" s="1"/>
  <c r="D26" i="3" s="1"/>
  <c r="E22" i="3"/>
  <c r="E24" i="3" s="1"/>
  <c r="E25" i="3" s="1"/>
  <c r="E26" i="3" s="1"/>
  <c r="D37" i="2"/>
  <c r="C37" i="2"/>
  <c r="C40" i="2"/>
  <c r="E41" i="2"/>
  <c r="E53" i="2" s="1"/>
  <c r="E56" i="2" s="1"/>
  <c r="I27" i="3"/>
  <c r="I28" i="3" s="1"/>
  <c r="I29" i="3" s="1"/>
  <c r="G38" i="2" s="1"/>
  <c r="E46" i="2"/>
  <c r="G46" i="2"/>
  <c r="E27" i="3"/>
  <c r="D27" i="3"/>
  <c r="D31" i="2"/>
  <c r="G22" i="3"/>
  <c r="G24" i="3" s="1"/>
  <c r="G25" i="3" s="1"/>
  <c r="F37" i="2"/>
  <c r="F31" i="2"/>
  <c r="E28" i="3" l="1"/>
  <c r="E29" i="3" s="1"/>
  <c r="D38" i="2" s="1"/>
  <c r="D39" i="2" s="1"/>
  <c r="D41" i="2" s="1"/>
  <c r="D53" i="2" s="1"/>
  <c r="D55" i="2" s="1"/>
  <c r="D58" i="2" s="1"/>
  <c r="D28" i="3"/>
  <c r="D29" i="3" s="1"/>
  <c r="G26" i="3"/>
  <c r="G27" i="3"/>
  <c r="G39" i="2"/>
  <c r="G41" i="2" s="1"/>
  <c r="G53" i="2" s="1"/>
  <c r="G54" i="2"/>
  <c r="G57" i="2" s="1"/>
  <c r="G48" i="2"/>
  <c r="E48" i="2"/>
  <c r="E54" i="2"/>
  <c r="D56" i="2" l="1"/>
  <c r="G56" i="2"/>
  <c r="G55" i="2"/>
  <c r="G58" i="2" s="1"/>
  <c r="E57" i="2"/>
  <c r="E55" i="2"/>
  <c r="E58" i="2" s="1"/>
  <c r="G28" i="3"/>
  <c r="G29" i="3" s="1"/>
  <c r="F38" i="2" s="1"/>
  <c r="F39" i="2" l="1"/>
  <c r="F41" i="2" s="1"/>
  <c r="F53" i="2" s="1"/>
  <c r="F55" i="2" l="1"/>
  <c r="F58" i="2" s="1"/>
  <c r="F56" i="2"/>
</calcChain>
</file>

<file path=xl/sharedStrings.xml><?xml version="1.0" encoding="utf-8"?>
<sst xmlns="http://schemas.openxmlformats.org/spreadsheetml/2006/main" count="124" uniqueCount="84">
  <si>
    <t>[Company Name]</t>
  </si>
  <si>
    <t>Business Structure Selector</t>
  </si>
  <si>
    <t>[Date]</t>
  </si>
  <si>
    <t>[Company Name] CONFIDENTIAL</t>
  </si>
  <si>
    <t>Gray cells will be calculated for you. You do not need to enter anything in them.</t>
  </si>
  <si>
    <t>Planned number of owners</t>
  </si>
  <si>
    <t>Required protection from personal liability</t>
  </si>
  <si>
    <t>Low</t>
  </si>
  <si>
    <t>Net income for business</t>
  </si>
  <si>
    <t>Owner's share of income</t>
  </si>
  <si>
    <t>Salary received from business</t>
  </si>
  <si>
    <t>Owner's other income subject to self-employment tax</t>
  </si>
  <si>
    <t>Owner's marginal tax rate</t>
  </si>
  <si>
    <t>State income tax rate on individual income</t>
  </si>
  <si>
    <t>State income tax rate on business income</t>
  </si>
  <si>
    <t>Sole Proprietorship</t>
  </si>
  <si>
    <t>Partnership</t>
  </si>
  <si>
    <t>Corporation</t>
  </si>
  <si>
    <t>S Corporation</t>
  </si>
  <si>
    <t>Limited Liability Corporation (LLC)</t>
  </si>
  <si>
    <t>Option available?</t>
  </si>
  <si>
    <t>Yes</t>
  </si>
  <si>
    <t>If no, reason option not available</t>
  </si>
  <si>
    <t>Election to be treated as corporation? (Yes/No)</t>
  </si>
  <si>
    <t>Business tax return required</t>
  </si>
  <si>
    <t>None</t>
  </si>
  <si>
    <t>Form 1065</t>
  </si>
  <si>
    <t>Form 1120</t>
  </si>
  <si>
    <t>Form 1120S</t>
  </si>
  <si>
    <t>Protection from personal liability</t>
  </si>
  <si>
    <t>High</t>
  </si>
  <si>
    <t>Estimated Tax Liability Caused by Business</t>
  </si>
  <si>
    <t>Salary from business</t>
  </si>
  <si>
    <t>Business income currently taxable to owners</t>
  </si>
  <si>
    <t>Percent that is self-employment income</t>
  </si>
  <si>
    <t>Income from business subject to self-employment tax</t>
  </si>
  <si>
    <t>Business income taxable to business</t>
  </si>
  <si>
    <t>N/A</t>
  </si>
  <si>
    <t>Individual Tax</t>
  </si>
  <si>
    <t>FICA tax withheld from salary</t>
  </si>
  <si>
    <t>Tax on individual tax return:</t>
  </si>
  <si>
    <t>Business Tax</t>
  </si>
  <si>
    <t>FICA tax withheld from wages</t>
  </si>
  <si>
    <t>Tax on business return:</t>
  </si>
  <si>
    <t>Tax on future year dividend on personal return:</t>
  </si>
  <si>
    <t>Total tax on individual income</t>
  </si>
  <si>
    <t>Total tax on business income</t>
  </si>
  <si>
    <t>Total tax on combined income</t>
  </si>
  <si>
    <t>Effective tax rate — individual income</t>
  </si>
  <si>
    <t>Effective tax rate — business income</t>
  </si>
  <si>
    <t>Effective tax rate — combined income</t>
  </si>
  <si>
    <t>Tax Calculations</t>
  </si>
  <si>
    <t>Gray cells will be calculated for you. You do not need to enter anything into them.</t>
  </si>
  <si>
    <t>Individual Income Tax Rates</t>
  </si>
  <si>
    <t>Self-Employment (SE) Tax</t>
  </si>
  <si>
    <t>Maximum earnings</t>
  </si>
  <si>
    <t>Social security tax rate</t>
  </si>
  <si>
    <t>Medicare tax rate</t>
  </si>
  <si>
    <t>Limited Liability Corporation</t>
  </si>
  <si>
    <t>SE income from business</t>
  </si>
  <si>
    <t>Other SE income</t>
  </si>
  <si>
    <t>Total SE income</t>
  </si>
  <si>
    <t>Taxable social security income</t>
  </si>
  <si>
    <t>Social security tax</t>
  </si>
  <si>
    <t>Medicare tax</t>
  </si>
  <si>
    <t>Total SE tax</t>
  </si>
  <si>
    <t>FICA Tax for Employees and Businesses</t>
  </si>
  <si>
    <t>Corporate Tax Rate Schedule</t>
  </si>
  <si>
    <t xml:space="preserve">If taxable income is </t>
  </si>
  <si>
    <t xml:space="preserve">Over </t>
  </si>
  <si>
    <t>But not over</t>
  </si>
  <si>
    <t>Tax is</t>
  </si>
  <si>
    <t xml:space="preserve">Of the 
amount over </t>
  </si>
  <si>
    <t>Total 
corporate tax</t>
  </si>
  <si>
    <t>Owner's share</t>
  </si>
  <si>
    <t>+</t>
  </si>
  <si>
    <t>———</t>
  </si>
  <si>
    <t>Total</t>
  </si>
  <si>
    <t>Federal income tax</t>
  </si>
  <si>
    <t>Self-employment tax</t>
  </si>
  <si>
    <t>Tax saved on self-employment tax deduction</t>
  </si>
  <si>
    <t>State income tax</t>
  </si>
  <si>
    <t>Total individual tax</t>
  </si>
  <si>
    <t>Total tax paid by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</si>
</sst>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_ [$€-2]\ * #,##0.00_ ;_ [$€-2]\ * \-#,##0.00_ ;_ [$€-2]\ * &quot;-&quot;??_ ;_ @_ "/>
  </numFmts>
  <fonts count="6" x14ac:knownFonts="1">
    <font>
      <sz val="10"/>
      <color theme="1" tint="0.24994659260841701"/>
      <name val="Trebuchet MS"/>
      <family val="2"/>
      <scheme val="minor"/>
    </font>
    <font>
      <sz val="14"/>
      <color theme="1" tint="0.24994659260841701"/>
      <name val="Microsoft Sans Serif"/>
      <family val="2"/>
      <scheme val="major"/>
    </font>
    <font>
      <b/>
      <sz val="10"/>
      <color theme="1" tint="0.24994659260841701"/>
      <name val="Trebuchet MS"/>
      <family val="2"/>
      <scheme val="minor"/>
    </font>
    <font>
      <sz val="20"/>
      <color theme="6" tint="-0.499984740745262"/>
      <name val="Microsoft Sans Serif"/>
      <family val="2"/>
      <scheme val="major"/>
    </font>
    <font>
      <sz val="24"/>
      <color theme="5" tint="0.79998168889431442"/>
      <name val="Microsoft Sans Serif"/>
      <family val="2"/>
      <scheme val="major"/>
    </font>
    <font>
      <sz val="9"/>
      <color theme="1" tint="0.24994659260841701"/>
      <name val="Microsoft Sans Serif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dashed">
        <color rgb="FF000000"/>
      </left>
      <right/>
      <top/>
      <bottom/>
      <diagonal/>
    </border>
    <border>
      <left style="dashed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ashed">
        <color rgb="FF000000"/>
      </left>
      <right/>
      <top/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ashed">
        <color rgb="FF000000"/>
      </left>
      <right/>
      <top style="double">
        <color rgb="FF000000"/>
      </top>
      <bottom/>
      <diagonal/>
    </border>
    <border>
      <left style="dashed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medium">
        <color theme="1" tint="0.499984740745262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499984740745262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theme="1" tint="0.499984740745262"/>
      </left>
      <right style="thin">
        <color theme="1" tint="0.24994659260841701"/>
      </right>
      <top/>
      <bottom/>
      <diagonal/>
    </border>
    <border>
      <left style="medium">
        <color theme="1" tint="0.499984740745262"/>
      </left>
      <right style="thin">
        <color theme="1" tint="0.24994659260841701"/>
      </right>
      <top/>
      <bottom style="medium">
        <color theme="1" tint="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499984740745262"/>
      </bottom>
      <diagonal/>
    </border>
    <border>
      <left style="thin">
        <color theme="1" tint="0.24994659260841701"/>
      </left>
      <right style="medium">
        <color theme="1" tint="0.499984740745262"/>
      </right>
      <top style="thin">
        <color theme="1" tint="0.24994659260841701"/>
      </top>
      <bottom style="medium">
        <color theme="1" tint="0.499984740745262"/>
      </bottom>
      <diagonal/>
    </border>
    <border>
      <left style="medium">
        <color theme="1" tint="0.34998626667073579"/>
      </left>
      <right style="thin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24994659260841701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24994659260841701"/>
      </right>
      <top style="medium">
        <color theme="1" tint="0.34998626667073579"/>
      </top>
      <bottom/>
      <diagonal/>
    </border>
    <border>
      <left style="thin">
        <color theme="1" tint="0.24994659260841701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24994659260841701"/>
      </right>
      <top/>
      <bottom style="medium">
        <color theme="1" tint="0.34998626667073579"/>
      </bottom>
      <diagonal/>
    </border>
    <border>
      <left style="thin">
        <color theme="1" tint="0.24994659260841701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499984740745262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499984740745262"/>
      </right>
      <top/>
      <bottom style="thin">
        <color theme="1" tint="0.24994659260841701"/>
      </bottom>
      <diagonal/>
    </border>
    <border>
      <left style="medium">
        <color theme="1" tint="0.499984740745262"/>
      </left>
      <right style="thin">
        <color theme="1" tint="0.2499465926084170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24994659260841701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medium">
        <color theme="1" tint="0.34998626667073579"/>
      </left>
      <right style="thin">
        <color theme="1" tint="0.24994659260841701"/>
      </right>
      <top style="thin">
        <color theme="1" tint="0.24994659260841701"/>
      </top>
      <bottom style="medium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34998626667073579"/>
      </bottom>
      <diagonal/>
    </border>
    <border>
      <left style="thin">
        <color theme="1" tint="0.24994659260841701"/>
      </left>
      <right style="medium">
        <color theme="1" tint="0.34998626667073579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theme="1" tint="0.499984740745262"/>
      </bottom>
      <diagonal/>
    </border>
    <border>
      <left/>
      <right/>
      <top style="thin">
        <color theme="1" tint="0.24994659260841701"/>
      </top>
      <bottom style="medium">
        <color theme="1" tint="0.499984740745262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1" tint="0.499984740745262"/>
      </bottom>
      <diagonal/>
    </border>
  </borders>
  <cellStyleXfs count="5">
    <xf numFmtId="0" fontId="0" fillId="0" borderId="0">
      <alignment vertical="center"/>
    </xf>
    <xf numFmtId="0" fontId="4" fillId="2" borderId="0" applyNumberFormat="0" applyProtection="0">
      <alignment vertical="center"/>
    </xf>
    <xf numFmtId="0" fontId="3" fillId="0" borderId="0" applyNumberFormat="0" applyFill="0" applyProtection="0">
      <alignment vertical="center"/>
    </xf>
    <xf numFmtId="0" fontId="1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2" applyNumberFormat="1" applyAlignment="1"/>
    <xf numFmtId="0" fontId="1" fillId="0" borderId="0" xfId="3" applyNumberFormat="1" applyAlignment="1"/>
    <xf numFmtId="0" fontId="5" fillId="0" borderId="0" xfId="4" applyNumberFormat="1" applyAlignment="1">
      <alignment horizontal="left"/>
    </xf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0" fillId="0" borderId="0" xfId="4" applyNumberFormat="1" applyFont="1" applyAlignment="1">
      <alignment horizontal="left"/>
    </xf>
    <xf numFmtId="0" fontId="0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/>
    <xf numFmtId="0" fontId="0" fillId="0" borderId="2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right" indent="1"/>
    </xf>
    <xf numFmtId="0" fontId="0" fillId="0" borderId="5" xfId="0" applyNumberFormat="1" applyFont="1" applyBorder="1" applyAlignment="1">
      <alignment horizontal="right" indent="1"/>
    </xf>
    <xf numFmtId="0" fontId="0" fillId="0" borderId="6" xfId="0" applyNumberFormat="1" applyFont="1" applyBorder="1" applyAlignment="1">
      <alignment horizontal="right" indent="1"/>
    </xf>
    <xf numFmtId="0" fontId="0" fillId="0" borderId="3" xfId="0" applyNumberFormat="1" applyFont="1" applyBorder="1" applyAlignment="1">
      <alignment horizontal="left" vertical="top" wrapText="1" indent="1"/>
    </xf>
    <xf numFmtId="0" fontId="0" fillId="0" borderId="3" xfId="0" applyNumberFormat="1" applyFont="1" applyBorder="1" applyAlignment="1">
      <alignment horizontal="left"/>
    </xf>
    <xf numFmtId="0" fontId="0" fillId="0" borderId="13" xfId="0" applyNumberFormat="1" applyFont="1" applyBorder="1" applyAlignment="1">
      <alignment horizontal="left"/>
    </xf>
    <xf numFmtId="0" fontId="0" fillId="0" borderId="12" xfId="0" applyNumberFormat="1" applyFont="1" applyBorder="1" applyAlignment="1">
      <alignment horizontal="right" indent="1"/>
    </xf>
    <xf numFmtId="0" fontId="0" fillId="0" borderId="16" xfId="0" applyNumberFormat="1" applyFont="1" applyBorder="1" applyAlignment="1">
      <alignment horizontal="right" indent="1"/>
    </xf>
    <xf numFmtId="0" fontId="0" fillId="0" borderId="3" xfId="0" applyNumberFormat="1" applyFont="1" applyBorder="1" applyAlignment="1">
      <alignment horizontal="left" indent="3"/>
    </xf>
    <xf numFmtId="0" fontId="0" fillId="0" borderId="19" xfId="0" applyNumberFormat="1" applyFont="1" applyBorder="1" applyAlignment="1">
      <alignment horizontal="right" indent="2"/>
    </xf>
    <xf numFmtId="0" fontId="0" fillId="0" borderId="3" xfId="0" applyNumberFormat="1" applyFont="1" applyBorder="1" applyAlignment="1">
      <alignment horizontal="right" indent="2"/>
    </xf>
    <xf numFmtId="0" fontId="0" fillId="0" borderId="8" xfId="0" applyNumberFormat="1" applyFont="1" applyBorder="1" applyAlignment="1">
      <alignment horizontal="right" indent="2"/>
    </xf>
    <xf numFmtId="0" fontId="0" fillId="0" borderId="22" xfId="0" applyNumberFormat="1" applyFont="1" applyBorder="1" applyAlignment="1"/>
    <xf numFmtId="0" fontId="0" fillId="0" borderId="23" xfId="0" applyNumberFormat="1" applyFont="1" applyBorder="1" applyAlignment="1"/>
    <xf numFmtId="0" fontId="0" fillId="0" borderId="23" xfId="0" applyNumberFormat="1" applyFont="1" applyBorder="1" applyAlignment="1">
      <alignment horizontal="right"/>
    </xf>
    <xf numFmtId="9" fontId="0" fillId="0" borderId="23" xfId="0" applyNumberFormat="1" applyFont="1" applyBorder="1" applyAlignment="1"/>
    <xf numFmtId="10" fontId="0" fillId="0" borderId="23" xfId="0" applyNumberFormat="1" applyFont="1" applyBorder="1" applyAlignment="1"/>
    <xf numFmtId="0" fontId="0" fillId="0" borderId="24" xfId="0" applyNumberFormat="1" applyFont="1" applyBorder="1" applyAlignment="1"/>
    <xf numFmtId="10" fontId="0" fillId="0" borderId="24" xfId="0" applyNumberFormat="1" applyFont="1" applyBorder="1" applyAlignment="1"/>
    <xf numFmtId="0" fontId="2" fillId="0" borderId="2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0" fillId="0" borderId="3" xfId="0" applyNumberFormat="1" applyFont="1" applyBorder="1" applyAlignment="1">
      <alignment horizontal="left" indent="1"/>
    </xf>
    <xf numFmtId="0" fontId="4" fillId="2" borderId="0" xfId="1" applyNumberFormat="1">
      <alignment vertical="center"/>
    </xf>
    <xf numFmtId="0" fontId="0" fillId="0" borderId="0" xfId="0" applyNumberFormat="1" applyFont="1" applyAlignment="1">
      <alignment horizontal="right"/>
    </xf>
    <xf numFmtId="9" fontId="0" fillId="0" borderId="0" xfId="0" applyNumberFormat="1" applyFont="1" applyBorder="1" applyAlignment="1"/>
    <xf numFmtId="10" fontId="0" fillId="0" borderId="0" xfId="0" applyNumberFormat="1" applyFont="1" applyBorder="1" applyAlignment="1"/>
    <xf numFmtId="3" fontId="0" fillId="0" borderId="27" xfId="0" applyNumberFormat="1" applyFont="1" applyBorder="1" applyAlignment="1"/>
    <xf numFmtId="0" fontId="0" fillId="0" borderId="25" xfId="0" applyNumberFormat="1" applyFont="1" applyBorder="1" applyAlignment="1">
      <alignment horizontal="left"/>
    </xf>
    <xf numFmtId="9" fontId="0" fillId="0" borderId="26" xfId="0" applyNumberFormat="1" applyFont="1" applyBorder="1" applyAlignment="1">
      <alignment horizontal="center"/>
    </xf>
    <xf numFmtId="9" fontId="0" fillId="0" borderId="27" xfId="0" applyNumberFormat="1" applyFont="1" applyBorder="1" applyAlignment="1">
      <alignment horizontal="center"/>
    </xf>
    <xf numFmtId="9" fontId="0" fillId="0" borderId="28" xfId="0" applyNumberFormat="1" applyFont="1" applyBorder="1" applyAlignment="1">
      <alignment horizontal="center"/>
    </xf>
    <xf numFmtId="0" fontId="0" fillId="0" borderId="31" xfId="0" applyNumberFormat="1" applyFont="1" applyBorder="1" applyAlignment="1"/>
    <xf numFmtId="0" fontId="0" fillId="0" borderId="32" xfId="0" applyNumberFormat="1" applyFont="1" applyBorder="1" applyAlignment="1"/>
    <xf numFmtId="0" fontId="0" fillId="0" borderId="33" xfId="0" applyNumberFormat="1" applyFont="1" applyBorder="1" applyAlignment="1"/>
    <xf numFmtId="0" fontId="0" fillId="0" borderId="38" xfId="0" applyNumberFormat="1" applyFont="1" applyBorder="1" applyAlignment="1"/>
    <xf numFmtId="0" fontId="0" fillId="0" borderId="40" xfId="0" applyNumberFormat="1" applyFont="1" applyBorder="1" applyAlignment="1"/>
    <xf numFmtId="10" fontId="0" fillId="0" borderId="41" xfId="0" applyNumberFormat="1" applyFont="1" applyBorder="1" applyAlignment="1"/>
    <xf numFmtId="0" fontId="0" fillId="0" borderId="42" xfId="0" applyNumberFormat="1" applyFont="1" applyBorder="1" applyAlignment="1"/>
    <xf numFmtId="10" fontId="0" fillId="0" borderId="43" xfId="0" applyNumberFormat="1" applyFont="1" applyBorder="1" applyAlignment="1"/>
    <xf numFmtId="0" fontId="0" fillId="0" borderId="44" xfId="0" applyNumberFormat="1" applyFont="1" applyBorder="1" applyAlignment="1">
      <alignment horizontal="right"/>
    </xf>
    <xf numFmtId="0" fontId="0" fillId="0" borderId="28" xfId="0" applyNumberFormat="1" applyFont="1" applyBorder="1" applyAlignment="1">
      <alignment horizontal="center"/>
    </xf>
    <xf numFmtId="0" fontId="0" fillId="0" borderId="28" xfId="0" applyNumberFormat="1" applyFont="1" applyBorder="1" applyAlignment="1">
      <alignment horizontal="center" wrapText="1"/>
    </xf>
    <xf numFmtId="0" fontId="0" fillId="0" borderId="45" xfId="0" applyNumberFormat="1" applyFont="1" applyBorder="1" applyAlignment="1">
      <alignment horizontal="center"/>
    </xf>
    <xf numFmtId="0" fontId="0" fillId="0" borderId="49" xfId="0" applyNumberFormat="1" applyFont="1" applyBorder="1" applyAlignment="1">
      <alignment horizontal="center" wrapText="1"/>
    </xf>
    <xf numFmtId="0" fontId="0" fillId="0" borderId="50" xfId="0" applyNumberFormat="1" applyFont="1" applyBorder="1" applyAlignment="1">
      <alignment horizontal="center" wrapText="1"/>
    </xf>
    <xf numFmtId="3" fontId="0" fillId="0" borderId="41" xfId="0" applyNumberFormat="1" applyFont="1" applyBorder="1" applyAlignment="1"/>
    <xf numFmtId="3" fontId="0" fillId="0" borderId="51" xfId="0" applyNumberFormat="1" applyFont="1" applyBorder="1" applyAlignment="1"/>
    <xf numFmtId="3" fontId="0" fillId="0" borderId="43" xfId="0" applyNumberFormat="1" applyFont="1" applyBorder="1" applyAlignment="1"/>
    <xf numFmtId="0" fontId="0" fillId="0" borderId="52" xfId="0" applyNumberFormat="1" applyFont="1" applyBorder="1" applyAlignment="1"/>
    <xf numFmtId="10" fontId="0" fillId="0" borderId="55" xfId="0" applyNumberFormat="1" applyFont="1" applyBorder="1" applyAlignment="1"/>
    <xf numFmtId="164" fontId="0" fillId="0" borderId="57" xfId="0" applyNumberFormat="1" applyFont="1" applyBorder="1" applyAlignment="1"/>
    <xf numFmtId="9" fontId="0" fillId="0" borderId="58" xfId="0" applyNumberFormat="1" applyFont="1" applyBorder="1" applyAlignment="1"/>
    <xf numFmtId="164" fontId="0" fillId="0" borderId="57" xfId="0" applyNumberFormat="1" applyFont="1" applyBorder="1" applyAlignment="1">
      <alignment horizontal="center"/>
    </xf>
    <xf numFmtId="0" fontId="0" fillId="0" borderId="60" xfId="0" applyNumberFormat="1" applyFont="1" applyBorder="1" applyAlignment="1"/>
    <xf numFmtId="9" fontId="0" fillId="0" borderId="61" xfId="0" applyNumberFormat="1" applyFont="1" applyBorder="1" applyAlignment="1"/>
    <xf numFmtId="0" fontId="1" fillId="0" borderId="0" xfId="3" applyNumberFormat="1" applyAlignment="1">
      <alignment horizontal="left"/>
    </xf>
    <xf numFmtId="165" fontId="0" fillId="0" borderId="4" xfId="0" applyNumberFormat="1" applyFont="1" applyBorder="1" applyAlignment="1">
      <alignment horizontal="right" indent="1"/>
    </xf>
    <xf numFmtId="165" fontId="0" fillId="0" borderId="5" xfId="0" applyNumberFormat="1" applyFont="1" applyBorder="1" applyAlignment="1">
      <alignment horizontal="right" indent="1"/>
    </xf>
    <xf numFmtId="165" fontId="0" fillId="0" borderId="6" xfId="0" applyNumberFormat="1" applyFont="1" applyBorder="1" applyAlignment="1">
      <alignment horizontal="right" indent="1"/>
    </xf>
    <xf numFmtId="14" fontId="1" fillId="0" borderId="0" xfId="3" applyNumberFormat="1" applyAlignment="1">
      <alignment horizontal="left"/>
    </xf>
    <xf numFmtId="0" fontId="0" fillId="0" borderId="0" xfId="0" applyNumberFormat="1" applyFont="1" applyBorder="1" applyAlignment="1">
      <alignment horizontal="right" indent="3"/>
    </xf>
    <xf numFmtId="0" fontId="0" fillId="0" borderId="29" xfId="0" applyNumberFormat="1" applyFont="1" applyBorder="1" applyAlignment="1">
      <alignment horizontal="right" indent="3"/>
    </xf>
    <xf numFmtId="0" fontId="0" fillId="0" borderId="53" xfId="0" applyNumberFormat="1" applyFont="1" applyBorder="1" applyAlignment="1"/>
    <xf numFmtId="0" fontId="0" fillId="0" borderId="54" xfId="0" applyNumberFormat="1" applyFont="1" applyBorder="1" applyAlignment="1"/>
    <xf numFmtId="3" fontId="0" fillId="0" borderId="51" xfId="0" applyNumberFormat="1" applyFont="1" applyBorder="1" applyAlignment="1"/>
    <xf numFmtId="0" fontId="0" fillId="0" borderId="36" xfId="0" applyNumberFormat="1" applyFont="1" applyBorder="1" applyAlignment="1">
      <alignment horizontal="left"/>
    </xf>
    <xf numFmtId="0" fontId="0" fillId="0" borderId="37" xfId="0" applyNumberFormat="1" applyFont="1" applyBorder="1" applyAlignment="1">
      <alignment horizontal="left"/>
    </xf>
    <xf numFmtId="0" fontId="0" fillId="0" borderId="46" xfId="0" applyNumberFormat="1" applyFont="1" applyBorder="1" applyAlignment="1">
      <alignment horizontal="left"/>
    </xf>
    <xf numFmtId="0" fontId="0" fillId="0" borderId="47" xfId="0" applyNumberFormat="1" applyFont="1" applyBorder="1" applyAlignment="1">
      <alignment horizontal="left"/>
    </xf>
    <xf numFmtId="0" fontId="0" fillId="0" borderId="48" xfId="0" applyNumberFormat="1" applyFont="1" applyBorder="1" applyAlignment="1">
      <alignment horizontal="left"/>
    </xf>
    <xf numFmtId="0" fontId="0" fillId="0" borderId="28" xfId="0" applyNumberFormat="1" applyFont="1" applyBorder="1" applyAlignment="1">
      <alignment horizontal="center"/>
    </xf>
    <xf numFmtId="0" fontId="0" fillId="0" borderId="40" xfId="0" applyNumberFormat="1" applyFont="1" applyBorder="1" applyAlignment="1"/>
    <xf numFmtId="0" fontId="0" fillId="0" borderId="27" xfId="0" applyNumberFormat="1" applyFont="1" applyBorder="1" applyAlignment="1"/>
    <xf numFmtId="3" fontId="0" fillId="0" borderId="27" xfId="0" applyNumberFormat="1" applyFont="1" applyBorder="1" applyAlignment="1"/>
    <xf numFmtId="0" fontId="0" fillId="0" borderId="52" xfId="0" applyNumberFormat="1" applyFont="1" applyBorder="1" applyAlignment="1"/>
    <xf numFmtId="0" fontId="0" fillId="0" borderId="28" xfId="0" applyNumberFormat="1" applyFont="1" applyBorder="1" applyAlignment="1"/>
    <xf numFmtId="0" fontId="0" fillId="0" borderId="40" xfId="0" applyNumberFormat="1" applyFont="1" applyBorder="1" applyAlignment="1">
      <alignment horizontal="center"/>
    </xf>
    <xf numFmtId="0" fontId="0" fillId="0" borderId="27" xfId="0" applyNumberFormat="1" applyFont="1" applyBorder="1" applyAlignment="1">
      <alignment horizontal="center"/>
    </xf>
    <xf numFmtId="0" fontId="0" fillId="0" borderId="49" xfId="0" applyNumberFormat="1" applyFont="1" applyBorder="1" applyAlignment="1">
      <alignment horizontal="center" wrapText="1"/>
    </xf>
    <xf numFmtId="0" fontId="0" fillId="0" borderId="49" xfId="0" applyNumberFormat="1" applyFont="1" applyBorder="1" applyAlignment="1">
      <alignment horizontal="center"/>
    </xf>
    <xf numFmtId="166" fontId="0" fillId="0" borderId="39" xfId="0" applyNumberFormat="1" applyFont="1" applyBorder="1" applyAlignment="1"/>
    <xf numFmtId="166" fontId="0" fillId="0" borderId="27" xfId="0" applyNumberFormat="1" applyFont="1" applyBorder="1" applyAlignment="1"/>
    <xf numFmtId="166" fontId="0" fillId="0" borderId="27" xfId="0" applyNumberFormat="1" applyFont="1" applyBorder="1" applyAlignment="1"/>
    <xf numFmtId="166" fontId="0" fillId="0" borderId="41" xfId="0" applyNumberFormat="1" applyFont="1" applyBorder="1" applyAlignment="1"/>
    <xf numFmtId="166" fontId="0" fillId="0" borderId="25" xfId="0" applyNumberFormat="1" applyFont="1" applyBorder="1" applyAlignment="1"/>
    <xf numFmtId="166" fontId="0" fillId="0" borderId="34" xfId="0" applyNumberFormat="1" applyFont="1" applyBorder="1" applyAlignment="1"/>
    <xf numFmtId="166" fontId="0" fillId="0" borderId="34" xfId="0" applyNumberFormat="1" applyFont="1" applyBorder="1" applyAlignment="1">
      <alignment horizontal="center"/>
    </xf>
    <xf numFmtId="166" fontId="0" fillId="0" borderId="56" xfId="0" applyNumberFormat="1" applyFont="1" applyBorder="1" applyAlignment="1"/>
    <xf numFmtId="166" fontId="0" fillId="0" borderId="59" xfId="0" applyNumberFormat="1" applyFont="1" applyBorder="1" applyAlignment="1"/>
    <xf numFmtId="166" fontId="0" fillId="0" borderId="30" xfId="0" applyNumberFormat="1" applyFont="1" applyBorder="1" applyAlignment="1"/>
    <xf numFmtId="166" fontId="0" fillId="0" borderId="35" xfId="0" applyNumberFormat="1" applyFont="1" applyBorder="1" applyAlignment="1"/>
    <xf numFmtId="166" fontId="0" fillId="0" borderId="28" xfId="0" applyNumberFormat="1" applyFont="1" applyBorder="1" applyAlignment="1"/>
    <xf numFmtId="166" fontId="0" fillId="0" borderId="23" xfId="0" applyNumberFormat="1" applyFont="1" applyBorder="1" applyAlignment="1">
      <alignment horizontal="right"/>
    </xf>
    <xf numFmtId="166" fontId="0" fillId="0" borderId="23" xfId="0" applyNumberFormat="1" applyFont="1" applyBorder="1" applyAlignment="1"/>
    <xf numFmtId="166" fontId="0" fillId="0" borderId="15" xfId="0" applyNumberFormat="1" applyFont="1" applyBorder="1" applyAlignment="1">
      <alignment horizontal="right" indent="1"/>
    </xf>
    <xf numFmtId="166" fontId="0" fillId="0" borderId="17" xfId="0" applyNumberFormat="1" applyFont="1" applyBorder="1" applyAlignment="1">
      <alignment horizontal="right" indent="1"/>
    </xf>
    <xf numFmtId="166" fontId="0" fillId="0" borderId="5" xfId="0" applyNumberFormat="1" applyFont="1" applyBorder="1" applyAlignment="1">
      <alignment horizontal="right" indent="1"/>
    </xf>
    <xf numFmtId="166" fontId="0" fillId="0" borderId="6" xfId="0" applyNumberFormat="1" applyFont="1" applyBorder="1" applyAlignment="1">
      <alignment horizontal="right" indent="1"/>
    </xf>
    <xf numFmtId="166" fontId="0" fillId="0" borderId="20" xfId="0" applyNumberFormat="1" applyFont="1" applyBorder="1" applyAlignment="1">
      <alignment horizontal="right" indent="1"/>
    </xf>
    <xf numFmtId="166" fontId="0" fillId="0" borderId="9" xfId="0" applyNumberFormat="1" applyFont="1" applyBorder="1" applyAlignment="1">
      <alignment horizontal="right" indent="1"/>
    </xf>
    <xf numFmtId="166" fontId="0" fillId="0" borderId="21" xfId="0" applyNumberFormat="1" applyFont="1" applyBorder="1" applyAlignment="1">
      <alignment horizontal="right" indent="1"/>
    </xf>
    <xf numFmtId="166" fontId="0" fillId="0" borderId="10" xfId="0" applyNumberFormat="1" applyFont="1" applyBorder="1" applyAlignment="1">
      <alignment horizontal="right" indent="1"/>
    </xf>
    <xf numFmtId="166" fontId="0" fillId="0" borderId="14" xfId="0" applyNumberFormat="1" applyFont="1" applyBorder="1" applyAlignment="1">
      <alignment horizontal="right" indent="1"/>
    </xf>
    <xf numFmtId="166" fontId="0" fillId="0" borderId="18" xfId="0" applyNumberFormat="1" applyFont="1" applyBorder="1" applyAlignment="1">
      <alignment horizontal="right" indent="1"/>
    </xf>
    <xf numFmtId="166" fontId="0" fillId="0" borderId="4" xfId="0" applyNumberFormat="1" applyFont="1" applyBorder="1" applyAlignment="1">
      <alignment horizontal="right" indent="1"/>
    </xf>
    <xf numFmtId="166" fontId="0" fillId="0" borderId="7" xfId="0" applyNumberFormat="1" applyFont="1" applyBorder="1" applyAlignment="1">
      <alignment horizontal="right" indent="1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 wrapText="1"/>
    </xf>
    <xf numFmtId="0" fontId="0" fillId="0" borderId="5" xfId="0" applyNumberFormat="1" applyFont="1" applyBorder="1" applyAlignment="1">
      <alignment horizontal="center" wrapText="1"/>
    </xf>
    <xf numFmtId="0" fontId="0" fillId="0" borderId="6" xfId="0" applyNumberFormat="1" applyFont="1" applyBorder="1" applyAlignment="1">
      <alignment horizontal="center" wrapText="1"/>
    </xf>
  </cellXfs>
  <cellStyles count="5">
    <cellStyle name="Kop 1" xfId="1" builtinId="16" customBuiltin="1"/>
    <cellStyle name="Kop 2" xfId="2" builtinId="17" customBuiltin="1"/>
    <cellStyle name="Kop 3" xfId="3" builtinId="18" customBuiltin="1"/>
    <cellStyle name="Kop 4" xfId="4" builtinId="19" customBuiltin="1"/>
    <cellStyle name="Standaard" xfId="0" builtinId="0" customBuiltin="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usiness structure selector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Business structure selector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499984740745262"/>
    <pageSetUpPr autoPageBreaks="0" fitToPage="1"/>
  </sheetPr>
  <dimension ref="B2:G58"/>
  <sheetViews>
    <sheetView showGridLines="0" tabSelected="1" topLeftCell="A7" workbookViewId="0">
      <selection activeCell="J25" sqref="J25"/>
    </sheetView>
  </sheetViews>
  <sheetFormatPr defaultRowHeight="15" x14ac:dyDescent="0.3"/>
  <cols>
    <col min="1" max="1" width="1.7109375" style="4" customWidth="1"/>
    <col min="2" max="2" width="46.28515625" style="4" customWidth="1"/>
    <col min="3" max="7" width="17.42578125" style="4" customWidth="1"/>
    <col min="8" max="16384" width="9.140625" style="4"/>
  </cols>
  <sheetData>
    <row r="2" spans="2:7" ht="50.1" customHeight="1" x14ac:dyDescent="0.3">
      <c r="B2" s="36" t="s">
        <v>0</v>
      </c>
      <c r="C2" s="36"/>
      <c r="D2" s="36"/>
      <c r="E2" s="36"/>
      <c r="F2" s="36"/>
      <c r="G2" s="36"/>
    </row>
    <row r="3" spans="2:7" ht="24.75" x14ac:dyDescent="0.3">
      <c r="B3" s="1" t="s">
        <v>1</v>
      </c>
      <c r="C3" s="1"/>
      <c r="D3" s="1"/>
      <c r="E3" s="1"/>
      <c r="F3" s="1"/>
      <c r="G3" s="1"/>
    </row>
    <row r="4" spans="2:7" ht="18.75" x14ac:dyDescent="0.3">
      <c r="B4" s="69" t="s">
        <v>2</v>
      </c>
      <c r="C4" s="2"/>
      <c r="D4" s="2"/>
      <c r="E4" s="2"/>
      <c r="F4" s="2"/>
      <c r="G4" s="2"/>
    </row>
    <row r="5" spans="2:7" x14ac:dyDescent="0.3">
      <c r="B5" s="5"/>
      <c r="C5" s="5"/>
      <c r="D5" s="5"/>
      <c r="E5" s="5"/>
      <c r="F5" s="5"/>
      <c r="G5" s="5"/>
    </row>
    <row r="6" spans="2:7" x14ac:dyDescent="0.2">
      <c r="B6" s="3" t="s">
        <v>3</v>
      </c>
      <c r="C6" s="7"/>
      <c r="D6" s="8"/>
      <c r="E6" s="8"/>
      <c r="F6" s="8"/>
      <c r="G6" s="7"/>
    </row>
    <row r="7" spans="2:7" x14ac:dyDescent="0.2">
      <c r="B7" s="3"/>
      <c r="C7" s="7"/>
      <c r="D7" s="8"/>
      <c r="E7" s="8"/>
      <c r="F7" s="8"/>
      <c r="G7" s="7"/>
    </row>
    <row r="8" spans="2:7" x14ac:dyDescent="0.3">
      <c r="B8" s="9" t="s">
        <v>4</v>
      </c>
      <c r="C8" s="10"/>
      <c r="D8" s="8"/>
      <c r="E8" s="8"/>
      <c r="F8" s="8"/>
      <c r="G8" s="7"/>
    </row>
    <row r="9" spans="2:7" x14ac:dyDescent="0.3">
      <c r="B9" s="25" t="s">
        <v>5</v>
      </c>
      <c r="C9" s="25">
        <v>2</v>
      </c>
      <c r="D9" s="11"/>
      <c r="E9" s="5"/>
      <c r="F9" s="5"/>
      <c r="G9" s="5"/>
    </row>
    <row r="10" spans="2:7" x14ac:dyDescent="0.3">
      <c r="B10" s="26" t="s">
        <v>6</v>
      </c>
      <c r="C10" s="27" t="s">
        <v>7</v>
      </c>
      <c r="D10" s="11"/>
      <c r="E10" s="5"/>
      <c r="F10" s="5"/>
      <c r="G10" s="5"/>
    </row>
    <row r="11" spans="2:7" x14ac:dyDescent="0.3">
      <c r="B11" s="26" t="s">
        <v>8</v>
      </c>
      <c r="C11" s="106">
        <v>250000</v>
      </c>
      <c r="D11" s="11"/>
      <c r="E11" s="5"/>
      <c r="F11" s="5"/>
      <c r="G11" s="5"/>
    </row>
    <row r="12" spans="2:7" x14ac:dyDescent="0.3">
      <c r="B12" s="26" t="s">
        <v>9</v>
      </c>
      <c r="C12" s="107">
        <f>C11/C9</f>
        <v>125000</v>
      </c>
      <c r="D12" s="11"/>
      <c r="E12" s="5"/>
      <c r="F12" s="5"/>
      <c r="G12" s="5"/>
    </row>
    <row r="13" spans="2:7" x14ac:dyDescent="0.3">
      <c r="B13" s="26" t="s">
        <v>10</v>
      </c>
      <c r="C13" s="107">
        <v>20000</v>
      </c>
      <c r="D13" s="11"/>
      <c r="E13" s="5"/>
      <c r="F13" s="5"/>
      <c r="G13" s="5"/>
    </row>
    <row r="14" spans="2:7" x14ac:dyDescent="0.3">
      <c r="B14" s="26" t="s">
        <v>11</v>
      </c>
      <c r="C14" s="107">
        <v>20000</v>
      </c>
      <c r="D14" s="11"/>
      <c r="E14" s="5"/>
      <c r="F14" s="5"/>
      <c r="G14" s="5"/>
    </row>
    <row r="15" spans="2:7" x14ac:dyDescent="0.3">
      <c r="B15" s="26" t="s">
        <v>12</v>
      </c>
      <c r="C15" s="28">
        <v>0.28000000000000003</v>
      </c>
      <c r="D15" s="11"/>
      <c r="E15" s="5"/>
      <c r="F15" s="5"/>
      <c r="G15" s="5"/>
    </row>
    <row r="16" spans="2:7" x14ac:dyDescent="0.3">
      <c r="B16" s="26" t="s">
        <v>13</v>
      </c>
      <c r="C16" s="29">
        <v>0.05</v>
      </c>
      <c r="D16" s="11"/>
      <c r="E16" s="5"/>
      <c r="F16" s="5"/>
      <c r="G16" s="5"/>
    </row>
    <row r="17" spans="2:7" x14ac:dyDescent="0.3">
      <c r="B17" s="30" t="s">
        <v>14</v>
      </c>
      <c r="C17" s="31">
        <v>0.08</v>
      </c>
      <c r="D17" s="11"/>
      <c r="E17" s="5"/>
      <c r="F17" s="5"/>
      <c r="G17" s="5"/>
    </row>
    <row r="18" spans="2:7" ht="15.75" thickBot="1" x14ac:dyDescent="0.35">
      <c r="B18" s="11"/>
      <c r="C18" s="11"/>
      <c r="D18" s="11"/>
      <c r="E18" s="11"/>
      <c r="F18" s="11"/>
      <c r="G18" s="11"/>
    </row>
    <row r="19" spans="2:7" ht="30.75" thickBot="1" x14ac:dyDescent="0.35">
      <c r="B19" s="11"/>
      <c r="C19" s="32" t="s">
        <v>15</v>
      </c>
      <c r="D19" s="33" t="s">
        <v>16</v>
      </c>
      <c r="E19" s="33" t="s">
        <v>17</v>
      </c>
      <c r="F19" s="33" t="s">
        <v>18</v>
      </c>
      <c r="G19" s="34" t="s">
        <v>19</v>
      </c>
    </row>
    <row r="20" spans="2:7" x14ac:dyDescent="0.3">
      <c r="B20" s="12" t="s">
        <v>20</v>
      </c>
      <c r="C20" s="122" t="str">
        <f>IF($C9=1,IF(C10="Low","Yes","No"),"No")</f>
        <v>No</v>
      </c>
      <c r="D20" s="120" t="str">
        <f>IF($C9&gt;1,IF(C10="Low","Yes","No"),"No")</f>
        <v>Yes</v>
      </c>
      <c r="E20" s="120" t="str">
        <f>"Yes"</f>
        <v>Yes</v>
      </c>
      <c r="F20" s="120" t="str">
        <f>IF($C9&lt;75,"Yes", "No")</f>
        <v>Yes</v>
      </c>
      <c r="G20" s="121" t="s">
        <v>21</v>
      </c>
    </row>
    <row r="21" spans="2:7" ht="30" x14ac:dyDescent="0.3">
      <c r="B21" s="16" t="s">
        <v>22</v>
      </c>
      <c r="C21" s="123" t="str">
        <f>IF(C20="Yes","",IF(C9&gt;1,"Number of planned owners",IF(C10&lt;&gt;"Low","Liability","")))</f>
        <v>Number of planned owners</v>
      </c>
      <c r="D21" s="124" t="str">
        <f>IF(D20 = "Yes", "", IF($C9&lt;2,"Number of planned owners", IF($C10&lt;&gt;"Low","Liability","")))</f>
        <v/>
      </c>
      <c r="E21" s="124"/>
      <c r="F21" s="124" t="str">
        <f>IF(F20="Yes","",IF($C9&gt;=75,"Number of planned owners",IF($C10="High","Liability","")))</f>
        <v/>
      </c>
      <c r="G21" s="125"/>
    </row>
    <row r="22" spans="2:7" x14ac:dyDescent="0.3">
      <c r="B22" s="17" t="s">
        <v>23</v>
      </c>
      <c r="C22" s="122"/>
      <c r="D22" s="120"/>
      <c r="E22" s="120"/>
      <c r="F22" s="120"/>
      <c r="G22" s="121" t="s">
        <v>21</v>
      </c>
    </row>
    <row r="23" spans="2:7" x14ac:dyDescent="0.3">
      <c r="B23" s="17" t="s">
        <v>24</v>
      </c>
      <c r="C23" s="122" t="s">
        <v>25</v>
      </c>
      <c r="D23" s="120" t="s">
        <v>26</v>
      </c>
      <c r="E23" s="120" t="s">
        <v>27</v>
      </c>
      <c r="F23" s="120" t="s">
        <v>28</v>
      </c>
      <c r="G23" s="121" t="str">
        <f>IF(G22="Yes","Form 1120",IF(C9&gt;1,"Form 1065",IF(C9&gt;1,"Form 1065","None")))</f>
        <v>Form 1120</v>
      </c>
    </row>
    <row r="24" spans="2:7" x14ac:dyDescent="0.3">
      <c r="B24" s="17" t="s">
        <v>29</v>
      </c>
      <c r="C24" s="122" t="s">
        <v>7</v>
      </c>
      <c r="D24" s="120" t="s">
        <v>7</v>
      </c>
      <c r="E24" s="120" t="s">
        <v>30</v>
      </c>
      <c r="F24" s="120" t="s">
        <v>30</v>
      </c>
      <c r="G24" s="121" t="s">
        <v>30</v>
      </c>
    </row>
    <row r="25" spans="2:7" x14ac:dyDescent="0.3">
      <c r="B25" s="17"/>
      <c r="C25" s="13"/>
      <c r="D25" s="14"/>
      <c r="E25" s="14"/>
      <c r="F25" s="14"/>
      <c r="G25" s="15"/>
    </row>
    <row r="26" spans="2:7" x14ac:dyDescent="0.3">
      <c r="B26" s="18" t="s">
        <v>31</v>
      </c>
      <c r="C26" s="19"/>
      <c r="D26" s="19"/>
      <c r="E26" s="19"/>
      <c r="F26" s="19"/>
      <c r="G26" s="20"/>
    </row>
    <row r="27" spans="2:7" x14ac:dyDescent="0.3">
      <c r="B27" s="18" t="s">
        <v>32</v>
      </c>
      <c r="C27" s="116" t="str">
        <f>IF(C20="Yes", $C$13, "N/A")</f>
        <v>N/A</v>
      </c>
      <c r="D27" s="108">
        <f>IF(D20="Yes", $C$13, "N/A")</f>
        <v>20000</v>
      </c>
      <c r="E27" s="108">
        <f>$C$13</f>
        <v>20000</v>
      </c>
      <c r="F27" s="108">
        <f>$C$13</f>
        <v>20000</v>
      </c>
      <c r="G27" s="109">
        <f>$C$13</f>
        <v>20000</v>
      </c>
    </row>
    <row r="28" spans="2:7" x14ac:dyDescent="0.3">
      <c r="B28" s="17" t="s">
        <v>33</v>
      </c>
      <c r="C28" s="116" t="str">
        <f>IF(C20 = "Yes", C12, "N/A")</f>
        <v>N/A</v>
      </c>
      <c r="D28" s="108">
        <f>IF(D20="Yes",C12,"N/A")</f>
        <v>125000</v>
      </c>
      <c r="E28" s="108">
        <v>0</v>
      </c>
      <c r="F28" s="108">
        <f>IF(F20="Yes",C12,"N/A")</f>
        <v>125000</v>
      </c>
      <c r="G28" s="109">
        <f>IF(G20="Yes",IF(G22 = "No", $C12, 0),0)</f>
        <v>0</v>
      </c>
    </row>
    <row r="29" spans="2:7" x14ac:dyDescent="0.3">
      <c r="B29" s="17" t="s">
        <v>34</v>
      </c>
      <c r="C29" s="118" t="str">
        <f>IF(C20 = "Yes",100%, "N/A")</f>
        <v>N/A</v>
      </c>
      <c r="D29" s="110">
        <f>IF(D20="Yes",100%, "N/A")</f>
        <v>1</v>
      </c>
      <c r="E29" s="110">
        <v>0</v>
      </c>
      <c r="F29" s="110">
        <v>0.5</v>
      </c>
      <c r="G29" s="111">
        <f>IF(G20="Yes", IF(G22 = "No", 100%, 0), "N/A")</f>
        <v>0</v>
      </c>
    </row>
    <row r="30" spans="2:7" x14ac:dyDescent="0.3">
      <c r="B30" s="17"/>
      <c r="C30" s="70"/>
      <c r="D30" s="71"/>
      <c r="E30" s="71"/>
      <c r="F30" s="71"/>
      <c r="G30" s="72"/>
    </row>
    <row r="31" spans="2:7" x14ac:dyDescent="0.3">
      <c r="B31" s="17" t="s">
        <v>35</v>
      </c>
      <c r="C31" s="118" t="str">
        <f>IF(C20 = "Yes", C28*C29, "N/A")</f>
        <v>N/A</v>
      </c>
      <c r="D31" s="110">
        <f>IF(D20 = "Yes", D28*D29, "N/A")</f>
        <v>125000</v>
      </c>
      <c r="E31" s="110">
        <f>IF(E20 = "Yes", E28*E29, "N/A")</f>
        <v>0</v>
      </c>
      <c r="F31" s="110">
        <f>IF(F20 = "Yes", F28*F29, "N/A")</f>
        <v>62500</v>
      </c>
      <c r="G31" s="111">
        <f>IF(G20 = "Yes", G28*G29, "N/A")</f>
        <v>0</v>
      </c>
    </row>
    <row r="32" spans="2:7" x14ac:dyDescent="0.3">
      <c r="B32" s="17" t="s">
        <v>36</v>
      </c>
      <c r="C32" s="118" t="s">
        <v>37</v>
      </c>
      <c r="D32" s="71" t="s">
        <v>37</v>
      </c>
      <c r="E32" s="110">
        <f>C12</f>
        <v>125000</v>
      </c>
      <c r="F32" s="71" t="s">
        <v>37</v>
      </c>
      <c r="G32" s="111">
        <f>IF(G20="Yes", IF(G22="No", 0, C12), "N/A")</f>
        <v>125000</v>
      </c>
    </row>
    <row r="33" spans="2:7" x14ac:dyDescent="0.3">
      <c r="B33" s="17"/>
      <c r="C33" s="70"/>
      <c r="D33" s="71"/>
      <c r="E33" s="71"/>
      <c r="F33" s="71"/>
      <c r="G33" s="72"/>
    </row>
    <row r="34" spans="2:7" x14ac:dyDescent="0.3">
      <c r="B34" s="17" t="s">
        <v>38</v>
      </c>
      <c r="C34" s="70"/>
      <c r="D34" s="71"/>
      <c r="E34" s="71"/>
      <c r="F34" s="71"/>
      <c r="G34" s="72"/>
    </row>
    <row r="35" spans="2:7" x14ac:dyDescent="0.3">
      <c r="B35" s="17" t="s">
        <v>39</v>
      </c>
      <c r="C35" s="118" t="s">
        <v>37</v>
      </c>
      <c r="D35" s="110">
        <f>IF(D20 = "Yes", (MIN(D27,'Tax Calculations'!$C32)*'Tax Calculations'!$C33)+(D27*'Tax Calculations'!$C34), "N/A")</f>
        <v>1530</v>
      </c>
      <c r="E35" s="110">
        <f>IF(E20 = "Yes", (MIN(E27,'Tax Calculations'!$C32)*'Tax Calculations'!$C33)+(E27*'Tax Calculations'!$C34), "N/A")</f>
        <v>1530</v>
      </c>
      <c r="F35" s="110">
        <f>IF(F20 = "Yes", (MIN(F27,'Tax Calculations'!$C32)*'Tax Calculations'!$C33)+(F27*'Tax Calculations'!$C34), "N/A")</f>
        <v>1530</v>
      </c>
      <c r="G35" s="111">
        <f>IF(G20 = "Yes", (MIN(G27,'Tax Calculations'!$C32)*'Tax Calculations'!$C33)+(G27*'Tax Calculations'!$C34), "N/A")</f>
        <v>1530</v>
      </c>
    </row>
    <row r="36" spans="2:7" x14ac:dyDescent="0.3">
      <c r="B36" s="17" t="s">
        <v>40</v>
      </c>
      <c r="C36" s="70"/>
      <c r="D36" s="71"/>
      <c r="E36" s="71"/>
      <c r="F36" s="71"/>
      <c r="G36" s="72"/>
    </row>
    <row r="37" spans="2:7" x14ac:dyDescent="0.3">
      <c r="B37" s="35" t="s">
        <v>78</v>
      </c>
      <c r="C37" s="118" t="str">
        <f>IF(C20 = "Yes", (C27+C28)*$C15, "N/A")</f>
        <v>N/A</v>
      </c>
      <c r="D37" s="110">
        <f>IF(D20="Yes",(D28+D27)*$C15,"N/A")</f>
        <v>40600.000000000007</v>
      </c>
      <c r="E37" s="110">
        <f>IF(E20="Yes",(E28+E27)*$C15,"N/A")</f>
        <v>5600.0000000000009</v>
      </c>
      <c r="F37" s="110">
        <f>IF(F20="Yes",(F28+F27)*$C15,"N/A")</f>
        <v>40600.000000000007</v>
      </c>
      <c r="G37" s="111">
        <f>IF(G20="Yes",(G28+G27)*$C15,"N/A")</f>
        <v>5600.0000000000009</v>
      </c>
    </row>
    <row r="38" spans="2:7" x14ac:dyDescent="0.3">
      <c r="B38" s="35" t="s">
        <v>79</v>
      </c>
      <c r="C38" s="118" t="s">
        <v>37</v>
      </c>
      <c r="D38" s="110">
        <f>'Tax Calculations'!E29</f>
        <v>10962.581896551725</v>
      </c>
      <c r="E38" s="110">
        <v>0</v>
      </c>
      <c r="F38" s="110">
        <f>'Tax Calculations'!G29</f>
        <v>8830.96875</v>
      </c>
      <c r="G38" s="111">
        <f>'Tax Calculations'!I29</f>
        <v>0</v>
      </c>
    </row>
    <row r="39" spans="2:7" x14ac:dyDescent="0.3">
      <c r="B39" s="35" t="s">
        <v>80</v>
      </c>
      <c r="C39" s="118" t="str">
        <f>IFERROR(IF(C20="Yes", -C38*0.5*$C15, "N/A"),"N/A")</f>
        <v>N/A</v>
      </c>
      <c r="D39" s="110">
        <f>IF(D20="Yes", -D38*0.5*$C15, "N/A")</f>
        <v>-1534.7614655172415</v>
      </c>
      <c r="E39" s="110">
        <f>IF(E20="Yes", -E38*0.5*$C15, "N/A")</f>
        <v>0</v>
      </c>
      <c r="F39" s="110">
        <f>IF(F20="Yes", -F38*0.5*$C15, "N/A")</f>
        <v>-1236.3356250000002</v>
      </c>
      <c r="G39" s="111">
        <f>IF(G20="Yes", -G38*0.5*$C15, "N/A")</f>
        <v>0</v>
      </c>
    </row>
    <row r="40" spans="2:7" x14ac:dyDescent="0.3">
      <c r="B40" s="35" t="s">
        <v>81</v>
      </c>
      <c r="C40" s="118" t="str">
        <f>IF(C20="Yes",(C27+C28)*$C16,"N/A")</f>
        <v>N/A</v>
      </c>
      <c r="D40" s="110">
        <f>IF(D20="Yes",(D27+D28)*$C16,"N/A")</f>
        <v>7250</v>
      </c>
      <c r="E40" s="110">
        <f>IF(E20="Yes",(E27+E28)*$C16,"N/A")</f>
        <v>1000</v>
      </c>
      <c r="F40" s="110">
        <f>IF(F20="Yes",(F27+F28)*$C16,"N/A")</f>
        <v>7250</v>
      </c>
      <c r="G40" s="111">
        <f>IF(G20="Yes",(G27+G28)*$C16,"N/A")</f>
        <v>1000</v>
      </c>
    </row>
    <row r="41" spans="2:7" x14ac:dyDescent="0.3">
      <c r="B41" s="21" t="s">
        <v>82</v>
      </c>
      <c r="C41" s="116" t="str">
        <f>IFERROR(IF(C20="Yes",SUM(C37:C40)+C35,"N/A"),"N/A")</f>
        <v>N/A</v>
      </c>
      <c r="D41" s="108">
        <f>IF(D20="Yes",SUM(D37:D40)+D35,"N/A")</f>
        <v>58807.820431034488</v>
      </c>
      <c r="E41" s="108">
        <f>IF(E20="Yes",SUM(E37:E40)+E35,"N/A")</f>
        <v>8130.0000000000009</v>
      </c>
      <c r="F41" s="108">
        <f>IF(F20="Yes",SUM(F37:F40)+F35,"N/A")</f>
        <v>56974.633125000008</v>
      </c>
      <c r="G41" s="109">
        <f>IF(G20="Yes",SUM(G37:G40)+G35,"N/A")</f>
        <v>8130.0000000000009</v>
      </c>
    </row>
    <row r="42" spans="2:7" x14ac:dyDescent="0.3">
      <c r="B42" s="17"/>
      <c r="C42" s="70"/>
      <c r="D42" s="71"/>
      <c r="E42" s="71"/>
      <c r="F42" s="71"/>
      <c r="G42" s="72"/>
    </row>
    <row r="43" spans="2:7" x14ac:dyDescent="0.3">
      <c r="B43" s="17" t="s">
        <v>41</v>
      </c>
      <c r="C43" s="70"/>
      <c r="D43" s="71"/>
      <c r="E43" s="71"/>
      <c r="F43" s="71"/>
      <c r="G43" s="72"/>
    </row>
    <row r="44" spans="2:7" x14ac:dyDescent="0.3">
      <c r="B44" s="17" t="s">
        <v>42</v>
      </c>
      <c r="C44" s="118" t="str">
        <f>C35</f>
        <v>N/A</v>
      </c>
      <c r="D44" s="110">
        <f>D35</f>
        <v>1530</v>
      </c>
      <c r="E44" s="110">
        <f>E35</f>
        <v>1530</v>
      </c>
      <c r="F44" s="110">
        <f>F35</f>
        <v>1530</v>
      </c>
      <c r="G44" s="111">
        <f>G35</f>
        <v>1530</v>
      </c>
    </row>
    <row r="45" spans="2:7" x14ac:dyDescent="0.3">
      <c r="B45" s="17" t="s">
        <v>43</v>
      </c>
      <c r="C45" s="70"/>
      <c r="D45" s="71"/>
      <c r="E45" s="71"/>
      <c r="F45" s="71"/>
      <c r="G45" s="72"/>
    </row>
    <row r="46" spans="2:7" x14ac:dyDescent="0.3">
      <c r="B46" s="35" t="s">
        <v>78</v>
      </c>
      <c r="C46" s="118" t="s">
        <v>37</v>
      </c>
      <c r="D46" s="110" t="s">
        <v>37</v>
      </c>
      <c r="E46" s="110">
        <f>'Tax Calculations'!J46</f>
        <v>40375</v>
      </c>
      <c r="F46" s="110" t="s">
        <v>37</v>
      </c>
      <c r="G46" s="111">
        <f>IF(G$22="Yes",'Tax Calculations'!J46,"N/A")</f>
        <v>40375</v>
      </c>
    </row>
    <row r="47" spans="2:7" x14ac:dyDescent="0.3">
      <c r="B47" s="35" t="s">
        <v>81</v>
      </c>
      <c r="C47" s="118" t="s">
        <v>37</v>
      </c>
      <c r="D47" s="110" t="s">
        <v>37</v>
      </c>
      <c r="E47" s="110">
        <f>IF(E20="Yes",(C12-E27)*C17,"N/A")</f>
        <v>8400</v>
      </c>
      <c r="F47" s="110" t="s">
        <v>37</v>
      </c>
      <c r="G47" s="111">
        <f>IF(G$22="Yes",E47,"N/A")</f>
        <v>8400</v>
      </c>
    </row>
    <row r="48" spans="2:7" x14ac:dyDescent="0.3">
      <c r="B48" s="21" t="s">
        <v>83</v>
      </c>
      <c r="C48" s="116" t="str">
        <f>C44</f>
        <v>N/A</v>
      </c>
      <c r="D48" s="108">
        <f>D44</f>
        <v>1530</v>
      </c>
      <c r="E48" s="108">
        <f>E46+E47+E44</f>
        <v>50305</v>
      </c>
      <c r="F48" s="108">
        <f>F44</f>
        <v>1530</v>
      </c>
      <c r="G48" s="109">
        <f>IF(G20="Yes", IF(G22 = "Yes", G46+G47+G44, G44), "N/A")</f>
        <v>50305</v>
      </c>
    </row>
    <row r="49" spans="2:7" x14ac:dyDescent="0.3">
      <c r="B49" s="17"/>
      <c r="C49" s="70"/>
      <c r="D49" s="71"/>
      <c r="E49" s="71"/>
      <c r="F49" s="71"/>
      <c r="G49" s="72"/>
    </row>
    <row r="50" spans="2:7" x14ac:dyDescent="0.3">
      <c r="B50" s="17" t="s">
        <v>44</v>
      </c>
      <c r="C50" s="70"/>
      <c r="D50" s="71"/>
      <c r="E50" s="71"/>
      <c r="F50" s="71"/>
      <c r="G50" s="72"/>
    </row>
    <row r="51" spans="2:7" x14ac:dyDescent="0.3">
      <c r="B51" s="35" t="s">
        <v>78</v>
      </c>
      <c r="C51" s="118" t="s">
        <v>37</v>
      </c>
      <c r="D51" s="110" t="s">
        <v>37</v>
      </c>
      <c r="E51" s="110">
        <f>IF(E20="Yes",C12*C15,"N/A")</f>
        <v>35000</v>
      </c>
      <c r="F51" s="110" t="s">
        <v>37</v>
      </c>
      <c r="G51" s="111">
        <f>IF(G$22="Yes", E51, "N/A")</f>
        <v>35000</v>
      </c>
    </row>
    <row r="52" spans="2:7" ht="15.75" thickBot="1" x14ac:dyDescent="0.35">
      <c r="B52" s="35" t="s">
        <v>81</v>
      </c>
      <c r="C52" s="118" t="s">
        <v>37</v>
      </c>
      <c r="D52" s="110" t="s">
        <v>37</v>
      </c>
      <c r="E52" s="110">
        <f>IF(E20="Yes",(C12-E27)*C16,"N/A")</f>
        <v>5250</v>
      </c>
      <c r="F52" s="110" t="s">
        <v>37</v>
      </c>
      <c r="G52" s="111">
        <f>IF(G$22="Yes", E52, "N/A")</f>
        <v>5250</v>
      </c>
    </row>
    <row r="53" spans="2:7" ht="15.75" thickTop="1" x14ac:dyDescent="0.3">
      <c r="B53" s="22" t="s">
        <v>45</v>
      </c>
      <c r="C53" s="117" t="str">
        <f>IFERROR(IF(C20="Yes", C41+C44, "N/A"),"N/A")</f>
        <v>N/A</v>
      </c>
      <c r="D53" s="112">
        <f>IF(D20= "Yes", D41+D44, "N/A")</f>
        <v>60337.820431034488</v>
      </c>
      <c r="E53" s="112">
        <f>E41+E44+E51+E52</f>
        <v>49910</v>
      </c>
      <c r="F53" s="112">
        <f>F41+F44</f>
        <v>58504.633125000008</v>
      </c>
      <c r="G53" s="114">
        <f>IF(G20="Yes", IF(G22="Yes", G41+G44+G51+G52,G41+G44), "N/A")</f>
        <v>49910</v>
      </c>
    </row>
    <row r="54" spans="2:7" x14ac:dyDescent="0.3">
      <c r="B54" s="23" t="s">
        <v>46</v>
      </c>
      <c r="C54" s="70">
        <v>0</v>
      </c>
      <c r="D54" s="110">
        <v>0</v>
      </c>
      <c r="E54" s="110">
        <f>E46+E47</f>
        <v>48775</v>
      </c>
      <c r="F54" s="110">
        <v>0</v>
      </c>
      <c r="G54" s="111">
        <f>IF(G20="Yes", IF(G22="No", "N/A", G46+G47), "N/A")</f>
        <v>48775</v>
      </c>
    </row>
    <row r="55" spans="2:7" ht="15.75" thickBot="1" x14ac:dyDescent="0.35">
      <c r="B55" s="23" t="s">
        <v>47</v>
      </c>
      <c r="C55" s="116" t="str">
        <f>IFERROR(IF(C20="Yes",C53+C54, "N/A"),"N/A")</f>
        <v>N/A</v>
      </c>
      <c r="D55" s="108">
        <f>IF(D20="Yes",D53+D54, "N/A")</f>
        <v>60337.820431034488</v>
      </c>
      <c r="E55" s="108">
        <f>IF(E20="Yes",E53+E54, "N/A")</f>
        <v>98685</v>
      </c>
      <c r="F55" s="108">
        <f>IF(F20="Yes",F53+F54, "N/A")</f>
        <v>58504.633125000008</v>
      </c>
      <c r="G55" s="109">
        <f>IF(G20="Yes", IF(G22="No", G53, G53+G54), "N/A")</f>
        <v>98685</v>
      </c>
    </row>
    <row r="56" spans="2:7" ht="15.75" thickTop="1" x14ac:dyDescent="0.3">
      <c r="B56" s="22" t="s">
        <v>48</v>
      </c>
      <c r="C56" s="117" t="str">
        <f>IFERROR(IF(C$20="Yes", IF(C$27+C$28 = 0, 0, C$53/(C$27+C$28)), "N/A"),"N/A")</f>
        <v>N/A</v>
      </c>
      <c r="D56" s="112">
        <f>IF(D$20="Yes", IF(D$27+D$28 = 0, 0, D$53/(D$27+D$28)), "N/A")</f>
        <v>0.41612289952437576</v>
      </c>
      <c r="E56" s="112">
        <f>IF(E$20="Yes", IF(E$27+C$12 = 0, 0, E$53/(E$27+C$12)), "N/A")</f>
        <v>0.34420689655172415</v>
      </c>
      <c r="F56" s="112">
        <f>IF(F$20="Yes", IF(F$27+F$28 = 0, 0, F53/(F$27+F$28)), "N/A")</f>
        <v>0.40348022844827591</v>
      </c>
      <c r="G56" s="114">
        <f>IF(G$20="Yes", IF(G27+C12 = 0, 0, G53/(G27+C12)), "N/A")</f>
        <v>0.34420689655172415</v>
      </c>
    </row>
    <row r="57" spans="2:7" x14ac:dyDescent="0.3">
      <c r="B57" s="23" t="s">
        <v>49</v>
      </c>
      <c r="C57" s="118" t="s">
        <v>37</v>
      </c>
      <c r="D57" s="110" t="s">
        <v>37</v>
      </c>
      <c r="E57" s="110">
        <f>IF(E$20="Yes", IF(E$32 = 0, 0, E54/E$32), "N/A")</f>
        <v>0.39019999999999999</v>
      </c>
      <c r="F57" s="110" t="s">
        <v>37</v>
      </c>
      <c r="G57" s="111">
        <f>IF(G$20="Yes", IF(G$22 = "No", "N/A", IF(G$32 = 0, 0, G54/G$32)),"N/A")</f>
        <v>0.39019999999999999</v>
      </c>
    </row>
    <row r="58" spans="2:7" ht="15.75" thickBot="1" x14ac:dyDescent="0.35">
      <c r="B58" s="24" t="s">
        <v>50</v>
      </c>
      <c r="C58" s="119" t="str">
        <f>IFERROR(IF(C$20="Yes", IF(C$27+C$28 = 0, 0, C$53/(C$27+C$28)), "N/A"),"N/A")</f>
        <v>N/A</v>
      </c>
      <c r="D58" s="113">
        <f>IF(D$20="Yes", IF(D$27+D$28 = 0, 0, D$55/(D$27+D$28)), "N/A")</f>
        <v>0.41612289952437576</v>
      </c>
      <c r="E58" s="113">
        <f>IF(E$20="Yes", IF(E$32 = 0, 0, E55/E$32), "N/A")</f>
        <v>0.78947999999999996</v>
      </c>
      <c r="F58" s="113">
        <f>IF(F$20="Yes", IF(F$27+F$28 = 0, 0, F55/(F$27+F$28)), "N/A")</f>
        <v>0.40348022844827591</v>
      </c>
      <c r="G58" s="115">
        <f>IF(G$20="Yes", IF(G32 = 0, 0, G$55/G32), "N/A")</f>
        <v>0.78947999999999996</v>
      </c>
    </row>
  </sheetData>
  <conditionalFormatting sqref="C9:C17 C20:G58">
    <cfRule type="expression" dxfId="1" priority="1">
      <formula>_xlfn.ISFORMULA(C9)</formula>
    </cfRule>
  </conditionalFormatting>
  <printOptions horizontalCentered="1"/>
  <pageMargins left="0.4" right="0.4" top="0.4" bottom="0.4" header="0.3" footer="0.3"/>
  <pageSetup scale="77" fitToHeight="0" orientation="portrait" r:id="rId1"/>
  <ignoredErrors>
    <ignoredError sqref="E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  <pageSetUpPr autoPageBreaks="0" fitToPage="1"/>
  </sheetPr>
  <dimension ref="B2:J46"/>
  <sheetViews>
    <sheetView showGridLines="0" topLeftCell="A16" workbookViewId="0">
      <selection activeCell="L34" sqref="L34"/>
    </sheetView>
  </sheetViews>
  <sheetFormatPr defaultRowHeight="15" x14ac:dyDescent="0.3"/>
  <cols>
    <col min="1" max="1" width="1.7109375" style="4" customWidth="1"/>
    <col min="2" max="2" width="27.85546875" style="4" customWidth="1"/>
    <col min="3" max="3" width="19.85546875" style="4" customWidth="1"/>
    <col min="4" max="4" width="15.85546875" style="4" customWidth="1"/>
    <col min="5" max="5" width="15.140625" style="4" customWidth="1"/>
    <col min="6" max="6" width="2.140625" style="4" customWidth="1"/>
    <col min="7" max="7" width="4.7109375" style="4" customWidth="1"/>
    <col min="8" max="8" width="17.28515625" style="4" customWidth="1"/>
    <col min="9" max="9" width="16.5703125" style="4" customWidth="1"/>
    <col min="10" max="10" width="14.42578125" style="4" customWidth="1"/>
    <col min="11" max="16384" width="9.140625" style="4"/>
  </cols>
  <sheetData>
    <row r="2" spans="2:10" ht="50.1" customHeight="1" x14ac:dyDescent="0.3">
      <c r="B2" s="36" t="str">
        <f>'Business Structure'!B2</f>
        <v>[Company Name]</v>
      </c>
      <c r="C2" s="36"/>
      <c r="D2" s="36"/>
      <c r="E2" s="36"/>
      <c r="F2" s="36"/>
      <c r="G2" s="36"/>
    </row>
    <row r="3" spans="2:10" ht="24.75" x14ac:dyDescent="0.3">
      <c r="B3" s="1" t="s">
        <v>51</v>
      </c>
      <c r="C3" s="1"/>
      <c r="D3" s="1"/>
      <c r="E3" s="1"/>
      <c r="F3" s="1"/>
      <c r="G3" s="1"/>
    </row>
    <row r="4" spans="2:10" ht="18.75" x14ac:dyDescent="0.3">
      <c r="B4" s="73" t="str">
        <f>'Business Structure'!B4</f>
        <v>[Date]</v>
      </c>
      <c r="C4" s="2"/>
      <c r="D4" s="2"/>
      <c r="E4" s="2"/>
      <c r="F4" s="2"/>
      <c r="G4" s="2"/>
    </row>
    <row r="5" spans="2:10" x14ac:dyDescent="0.3">
      <c r="B5" s="5"/>
      <c r="C5" s="5"/>
      <c r="D5" s="5"/>
      <c r="E5" s="5"/>
      <c r="F5" s="5"/>
      <c r="G5" s="5"/>
    </row>
    <row r="6" spans="2:10" x14ac:dyDescent="0.2">
      <c r="B6" s="3" t="s">
        <v>3</v>
      </c>
      <c r="C6" s="7"/>
      <c r="D6" s="8"/>
      <c r="E6" s="8"/>
      <c r="F6" s="8"/>
      <c r="G6" s="7"/>
    </row>
    <row r="7" spans="2:10" x14ac:dyDescent="0.3">
      <c r="B7" s="6"/>
      <c r="C7" s="7"/>
      <c r="D7" s="8"/>
      <c r="E7" s="8"/>
      <c r="F7" s="8"/>
      <c r="G7" s="7"/>
    </row>
    <row r="8" spans="2:10" x14ac:dyDescent="0.3">
      <c r="B8" s="9" t="s">
        <v>52</v>
      </c>
      <c r="C8" s="5"/>
      <c r="D8" s="5"/>
      <c r="E8" s="5"/>
      <c r="F8" s="5"/>
      <c r="G8" s="5"/>
      <c r="H8" s="5"/>
      <c r="I8" s="37"/>
      <c r="J8" s="5"/>
    </row>
    <row r="9" spans="2:10" x14ac:dyDescent="0.3">
      <c r="B9" s="41" t="s">
        <v>53</v>
      </c>
      <c r="C9" s="11"/>
      <c r="D9" s="5"/>
      <c r="E9" s="5"/>
      <c r="F9" s="5"/>
      <c r="G9" s="5"/>
      <c r="H9" s="5"/>
      <c r="I9" s="5"/>
      <c r="J9" s="5"/>
    </row>
    <row r="10" spans="2:10" x14ac:dyDescent="0.3">
      <c r="B10" s="42">
        <v>0.35</v>
      </c>
      <c r="C10" s="11"/>
      <c r="D10" s="5"/>
      <c r="E10" s="5"/>
      <c r="F10" s="5"/>
      <c r="G10" s="5"/>
      <c r="H10" s="5"/>
      <c r="I10" s="5"/>
      <c r="J10" s="5"/>
    </row>
    <row r="11" spans="2:10" x14ac:dyDescent="0.3">
      <c r="B11" s="43">
        <v>0.33</v>
      </c>
      <c r="C11" s="11"/>
      <c r="D11" s="5"/>
      <c r="E11" s="5"/>
      <c r="F11" s="5"/>
      <c r="G11" s="5"/>
      <c r="H11" s="5"/>
      <c r="I11" s="5"/>
      <c r="J11" s="5"/>
    </row>
    <row r="12" spans="2:10" x14ac:dyDescent="0.3">
      <c r="B12" s="43">
        <v>0.28000000000000003</v>
      </c>
      <c r="C12" s="11"/>
      <c r="D12" s="5"/>
      <c r="E12" s="5"/>
      <c r="F12" s="5"/>
      <c r="G12" s="5"/>
      <c r="H12" s="5"/>
      <c r="I12" s="5"/>
      <c r="J12" s="5"/>
    </row>
    <row r="13" spans="2:10" x14ac:dyDescent="0.3">
      <c r="B13" s="43">
        <v>0.25</v>
      </c>
      <c r="C13" s="11"/>
      <c r="D13" s="5"/>
      <c r="E13" s="5"/>
      <c r="F13" s="5"/>
      <c r="G13" s="5"/>
      <c r="H13" s="5"/>
      <c r="I13" s="5"/>
      <c r="J13" s="5"/>
    </row>
    <row r="14" spans="2:10" x14ac:dyDescent="0.3">
      <c r="B14" s="43">
        <v>0.15</v>
      </c>
      <c r="C14" s="11"/>
      <c r="D14" s="5"/>
      <c r="E14" s="5"/>
      <c r="F14" s="5"/>
      <c r="G14" s="5"/>
      <c r="H14" s="5"/>
      <c r="I14" s="5"/>
      <c r="J14" s="5"/>
    </row>
    <row r="15" spans="2:10" x14ac:dyDescent="0.3">
      <c r="B15" s="44">
        <v>0.1</v>
      </c>
      <c r="C15" s="11"/>
      <c r="D15" s="5"/>
      <c r="E15" s="5"/>
      <c r="F15" s="5"/>
      <c r="G15" s="5"/>
      <c r="H15" s="5"/>
      <c r="I15" s="5"/>
      <c r="J15" s="5"/>
    </row>
    <row r="16" spans="2:10" ht="15.75" thickBot="1" x14ac:dyDescent="0.35">
      <c r="B16" s="11"/>
      <c r="C16" s="38"/>
      <c r="D16" s="5"/>
      <c r="E16" s="5"/>
      <c r="F16" s="5"/>
      <c r="G16" s="5"/>
      <c r="H16" s="5"/>
      <c r="I16" s="5"/>
      <c r="J16" s="5"/>
    </row>
    <row r="17" spans="2:10" ht="15.75" thickBot="1" x14ac:dyDescent="0.35">
      <c r="B17" s="79" t="s">
        <v>54</v>
      </c>
      <c r="C17" s="80"/>
      <c r="D17" s="11"/>
      <c r="E17" s="5"/>
      <c r="F17" s="5"/>
      <c r="G17" s="5"/>
      <c r="H17" s="5"/>
      <c r="I17" s="5"/>
      <c r="J17" s="5"/>
    </row>
    <row r="18" spans="2:10" x14ac:dyDescent="0.3">
      <c r="B18" s="48" t="s">
        <v>55</v>
      </c>
      <c r="C18" s="94">
        <v>90000</v>
      </c>
      <c r="D18" s="11"/>
      <c r="E18" s="5"/>
      <c r="F18" s="5"/>
      <c r="G18" s="5"/>
      <c r="H18" s="5"/>
      <c r="I18" s="5"/>
      <c r="J18" s="5"/>
    </row>
    <row r="19" spans="2:10" x14ac:dyDescent="0.3">
      <c r="B19" s="49" t="s">
        <v>56</v>
      </c>
      <c r="C19" s="50">
        <v>0.124</v>
      </c>
      <c r="D19" s="11"/>
      <c r="E19" s="5"/>
      <c r="F19" s="5"/>
      <c r="G19" s="5"/>
      <c r="H19" s="5"/>
      <c r="I19" s="5"/>
      <c r="J19" s="5"/>
    </row>
    <row r="20" spans="2:10" ht="15.75" thickBot="1" x14ac:dyDescent="0.35">
      <c r="B20" s="62" t="s">
        <v>57</v>
      </c>
      <c r="C20" s="63">
        <v>2.9000000000000001E-2</v>
      </c>
      <c r="D20" s="11"/>
      <c r="E20" s="11"/>
      <c r="F20" s="11"/>
      <c r="G20" s="11"/>
      <c r="H20" s="11"/>
      <c r="I20" s="11"/>
      <c r="J20" s="5"/>
    </row>
    <row r="21" spans="2:10" ht="30" x14ac:dyDescent="0.3">
      <c r="B21" s="90"/>
      <c r="C21" s="91"/>
      <c r="D21" s="57" t="s">
        <v>15</v>
      </c>
      <c r="E21" s="92" t="s">
        <v>16</v>
      </c>
      <c r="F21" s="92"/>
      <c r="G21" s="93" t="s">
        <v>18</v>
      </c>
      <c r="H21" s="93"/>
      <c r="I21" s="58" t="s">
        <v>58</v>
      </c>
      <c r="J21" s="11"/>
    </row>
    <row r="22" spans="2:10" x14ac:dyDescent="0.3">
      <c r="B22" s="85" t="s">
        <v>59</v>
      </c>
      <c r="C22" s="86"/>
      <c r="D22" s="95">
        <f>IF('Business Structure'!C20="Yes", 'Business Structure'!C28*'Business Structure'!C29, 0)</f>
        <v>0</v>
      </c>
      <c r="E22" s="96">
        <f>IF('Business Structure'!D20="Yes", 'Business Structure'!D28*'Business Structure'!D29, 0)</f>
        <v>125000</v>
      </c>
      <c r="F22" s="96"/>
      <c r="G22" s="96">
        <f>IF('Business Structure'!F20="Yes", 'Business Structure'!F28*'Business Structure'!F29, 0)</f>
        <v>62500</v>
      </c>
      <c r="H22" s="96"/>
      <c r="I22" s="97">
        <f>IF('Business Structure'!G20="Yes", IF('Business Structure'!G22="No", 'Business Structure'!G28*'Business Structure'!G29, 0), 0)</f>
        <v>0</v>
      </c>
      <c r="J22" s="11"/>
    </row>
    <row r="23" spans="2:10" x14ac:dyDescent="0.3">
      <c r="B23" s="85" t="s">
        <v>60</v>
      </c>
      <c r="C23" s="86"/>
      <c r="D23" s="40">
        <f>'Business Structure'!$C$14</f>
        <v>20000</v>
      </c>
      <c r="E23" s="87">
        <f>'Business Structure'!$C$14</f>
        <v>20000</v>
      </c>
      <c r="F23" s="87"/>
      <c r="G23" s="87">
        <f>'Business Structure'!$C$14</f>
        <v>20000</v>
      </c>
      <c r="H23" s="87"/>
      <c r="I23" s="59">
        <f>'Business Structure'!$C$14</f>
        <v>20000</v>
      </c>
      <c r="J23" s="11"/>
    </row>
    <row r="24" spans="2:10" x14ac:dyDescent="0.3">
      <c r="B24" s="85" t="s">
        <v>61</v>
      </c>
      <c r="C24" s="86"/>
      <c r="D24" s="40">
        <f>D22+D23</f>
        <v>20000</v>
      </c>
      <c r="E24" s="87">
        <f>E22+E23</f>
        <v>145000</v>
      </c>
      <c r="F24" s="87"/>
      <c r="G24" s="87">
        <f>G22+G23</f>
        <v>82500</v>
      </c>
      <c r="H24" s="87"/>
      <c r="I24" s="59">
        <f>I22+I23</f>
        <v>20000</v>
      </c>
      <c r="J24" s="11"/>
    </row>
    <row r="25" spans="2:10" x14ac:dyDescent="0.3">
      <c r="B25" s="85" t="s">
        <v>62</v>
      </c>
      <c r="C25" s="86"/>
      <c r="D25" s="40">
        <f>MIN($C18,D24)*0.9235</f>
        <v>18470</v>
      </c>
      <c r="E25" s="87">
        <f>MIN($C18,E24)*0.9235</f>
        <v>83115</v>
      </c>
      <c r="F25" s="87"/>
      <c r="G25" s="87">
        <f>MIN($C18,G24)*0.9235</f>
        <v>76188.75</v>
      </c>
      <c r="H25" s="87"/>
      <c r="I25" s="59">
        <f>MIN($C18,I24)*0.9235</f>
        <v>18470</v>
      </c>
      <c r="J25" s="11"/>
    </row>
    <row r="26" spans="2:10" x14ac:dyDescent="0.3">
      <c r="B26" s="85" t="s">
        <v>63</v>
      </c>
      <c r="C26" s="86"/>
      <c r="D26" s="40">
        <f>D25*$C19</f>
        <v>2290.2800000000002</v>
      </c>
      <c r="E26" s="87">
        <f>E25*$C19</f>
        <v>10306.26</v>
      </c>
      <c r="F26" s="87"/>
      <c r="G26" s="87">
        <f>G25*$C19</f>
        <v>9447.4050000000007</v>
      </c>
      <c r="H26" s="87"/>
      <c r="I26" s="59">
        <f>I25*$C19</f>
        <v>2290.2800000000002</v>
      </c>
      <c r="J26" s="11"/>
    </row>
    <row r="27" spans="2:10" x14ac:dyDescent="0.3">
      <c r="B27" s="85" t="s">
        <v>64</v>
      </c>
      <c r="C27" s="86"/>
      <c r="D27" s="40">
        <f>D25*$C20</f>
        <v>535.63</v>
      </c>
      <c r="E27" s="87">
        <f>E25*$C20</f>
        <v>2410.335</v>
      </c>
      <c r="F27" s="87"/>
      <c r="G27" s="87">
        <f>G25*$C20</f>
        <v>2209.4737500000001</v>
      </c>
      <c r="H27" s="87"/>
      <c r="I27" s="59">
        <f>I25*$C20</f>
        <v>535.63</v>
      </c>
      <c r="J27" s="11"/>
    </row>
    <row r="28" spans="2:10" x14ac:dyDescent="0.3">
      <c r="B28" s="88" t="s">
        <v>65</v>
      </c>
      <c r="C28" s="89"/>
      <c r="D28" s="40">
        <f>D26+D27</f>
        <v>2825.9100000000003</v>
      </c>
      <c r="E28" s="87">
        <f>E26+E27</f>
        <v>12716.595000000001</v>
      </c>
      <c r="F28" s="87"/>
      <c r="G28" s="87">
        <f>G26+G27</f>
        <v>11656.87875</v>
      </c>
      <c r="H28" s="87"/>
      <c r="I28" s="59">
        <f>I26+I27</f>
        <v>2825.9100000000003</v>
      </c>
      <c r="J28" s="11"/>
    </row>
    <row r="29" spans="2:10" ht="15.75" thickBot="1" x14ac:dyDescent="0.35">
      <c r="B29" s="76" t="str">
        <f>"SE tax from "&amp;B2</f>
        <v>SE tax from [Company Name]</v>
      </c>
      <c r="C29" s="77"/>
      <c r="D29" s="60">
        <f>D28*(D22/D24)</f>
        <v>0</v>
      </c>
      <c r="E29" s="78">
        <f>E28*(E22/E24)</f>
        <v>10962.581896551725</v>
      </c>
      <c r="F29" s="78"/>
      <c r="G29" s="78">
        <f>G28*(G22/G24)</f>
        <v>8830.96875</v>
      </c>
      <c r="H29" s="78"/>
      <c r="I29" s="61">
        <f>I28*(I22/I24)</f>
        <v>0</v>
      </c>
      <c r="J29" s="11"/>
    </row>
    <row r="30" spans="2:10" ht="15.75" thickBot="1" x14ac:dyDescent="0.35">
      <c r="B30" s="11"/>
      <c r="C30" s="39"/>
      <c r="D30" s="11"/>
      <c r="E30" s="11"/>
      <c r="F30" s="11"/>
      <c r="G30" s="11"/>
      <c r="H30" s="11"/>
      <c r="I30" s="11"/>
      <c r="J30" s="5"/>
    </row>
    <row r="31" spans="2:10" ht="15.75" thickBot="1" x14ac:dyDescent="0.35">
      <c r="B31" s="79" t="s">
        <v>66</v>
      </c>
      <c r="C31" s="80"/>
      <c r="D31" s="11"/>
      <c r="E31" s="5"/>
      <c r="F31" s="5"/>
      <c r="G31" s="5"/>
      <c r="H31" s="5"/>
      <c r="I31" s="5"/>
      <c r="J31" s="5"/>
    </row>
    <row r="32" spans="2:10" x14ac:dyDescent="0.3">
      <c r="B32" s="48" t="s">
        <v>55</v>
      </c>
      <c r="C32" s="94">
        <v>90000</v>
      </c>
      <c r="D32" s="11"/>
      <c r="E32" s="5"/>
      <c r="F32" s="5"/>
      <c r="G32" s="5"/>
      <c r="H32" s="5"/>
      <c r="I32" s="5"/>
      <c r="J32" s="5"/>
    </row>
    <row r="33" spans="2:10" x14ac:dyDescent="0.3">
      <c r="B33" s="49" t="s">
        <v>56</v>
      </c>
      <c r="C33" s="50">
        <f>C19*0.5</f>
        <v>6.2E-2</v>
      </c>
      <c r="D33" s="11"/>
      <c r="E33" s="5"/>
      <c r="F33" s="5"/>
      <c r="G33" s="5"/>
      <c r="H33" s="5"/>
      <c r="I33" s="5"/>
      <c r="J33" s="5"/>
    </row>
    <row r="34" spans="2:10" ht="15.75" thickBot="1" x14ac:dyDescent="0.35">
      <c r="B34" s="51" t="s">
        <v>57</v>
      </c>
      <c r="C34" s="52">
        <f>C20*0.5</f>
        <v>1.4500000000000001E-2</v>
      </c>
      <c r="D34" s="11"/>
      <c r="E34" s="5"/>
      <c r="F34" s="5"/>
      <c r="G34" s="5"/>
      <c r="H34" s="5"/>
      <c r="I34" s="5"/>
      <c r="J34" s="5"/>
    </row>
    <row r="35" spans="2:10" ht="15.75" thickBot="1" x14ac:dyDescent="0.35">
      <c r="B35" s="11"/>
      <c r="C35" s="11"/>
      <c r="D35" s="11"/>
      <c r="E35" s="11"/>
      <c r="F35" s="11"/>
      <c r="G35" s="11"/>
      <c r="H35" s="11"/>
      <c r="I35" s="11"/>
      <c r="J35" s="11"/>
    </row>
    <row r="36" spans="2:10" ht="15.75" thickBot="1" x14ac:dyDescent="0.35">
      <c r="B36" s="81" t="s">
        <v>67</v>
      </c>
      <c r="C36" s="82"/>
      <c r="D36" s="82"/>
      <c r="E36" s="82"/>
      <c r="F36" s="82"/>
      <c r="G36" s="82"/>
      <c r="H36" s="82"/>
      <c r="I36" s="82"/>
      <c r="J36" s="83"/>
    </row>
    <row r="37" spans="2:10" ht="30" x14ac:dyDescent="0.3">
      <c r="B37" s="53" t="s">
        <v>68</v>
      </c>
      <c r="C37" s="54" t="s">
        <v>69</v>
      </c>
      <c r="D37" s="54" t="s">
        <v>70</v>
      </c>
      <c r="E37" s="84" t="s">
        <v>71</v>
      </c>
      <c r="F37" s="84"/>
      <c r="G37" s="84"/>
      <c r="H37" s="55" t="s">
        <v>72</v>
      </c>
      <c r="I37" s="55" t="s">
        <v>73</v>
      </c>
      <c r="J37" s="56" t="s">
        <v>74</v>
      </c>
    </row>
    <row r="38" spans="2:10" x14ac:dyDescent="0.3">
      <c r="B38" s="45"/>
      <c r="C38" s="98">
        <v>0</v>
      </c>
      <c r="D38" s="98">
        <v>50000</v>
      </c>
      <c r="E38" s="101"/>
      <c r="F38" s="64"/>
      <c r="G38" s="65">
        <v>0.15</v>
      </c>
      <c r="H38" s="98">
        <v>0</v>
      </c>
      <c r="I38" s="98">
        <f>IF(Net_income_for_business&lt;=D38, Net_income_for_business*G38, 0)</f>
        <v>0</v>
      </c>
      <c r="J38" s="103">
        <f>IF(I38=0,0,I38/'Business Structure'!$C$9)</f>
        <v>0</v>
      </c>
    </row>
    <row r="39" spans="2:10" x14ac:dyDescent="0.3">
      <c r="B39" s="46"/>
      <c r="C39" s="98">
        <v>50000</v>
      </c>
      <c r="D39" s="98">
        <v>75000</v>
      </c>
      <c r="E39" s="101">
        <v>7500</v>
      </c>
      <c r="F39" s="66" t="s">
        <v>75</v>
      </c>
      <c r="G39" s="65">
        <v>0.25</v>
      </c>
      <c r="H39" s="98">
        <v>50000</v>
      </c>
      <c r="I39" s="98">
        <f t="shared" ref="I39:I44" si="0">IF(Net_income_for_business&gt;D39, 0, IF(Net_income_for_business &lt;=C39, 0,E39+((Net_income_for_business-H39)*G39)))</f>
        <v>0</v>
      </c>
      <c r="J39" s="103">
        <f>IF(I39=0,0,I39/'Business Structure'!$C$9)</f>
        <v>0</v>
      </c>
    </row>
    <row r="40" spans="2:10" x14ac:dyDescent="0.3">
      <c r="B40" s="46"/>
      <c r="C40" s="98">
        <v>75000</v>
      </c>
      <c r="D40" s="98">
        <v>100000</v>
      </c>
      <c r="E40" s="101">
        <v>13750</v>
      </c>
      <c r="F40" s="66" t="s">
        <v>75</v>
      </c>
      <c r="G40" s="65">
        <v>0.34</v>
      </c>
      <c r="H40" s="98">
        <v>75000</v>
      </c>
      <c r="I40" s="98">
        <f t="shared" si="0"/>
        <v>0</v>
      </c>
      <c r="J40" s="103">
        <f>IF(I40=0,0,I40/'Business Structure'!$C$9)</f>
        <v>0</v>
      </c>
    </row>
    <row r="41" spans="2:10" x14ac:dyDescent="0.3">
      <c r="B41" s="46"/>
      <c r="C41" s="98">
        <v>100000</v>
      </c>
      <c r="D41" s="98">
        <v>335000</v>
      </c>
      <c r="E41" s="101">
        <v>22250</v>
      </c>
      <c r="F41" s="66" t="s">
        <v>75</v>
      </c>
      <c r="G41" s="65">
        <v>0.39</v>
      </c>
      <c r="H41" s="98">
        <v>100000</v>
      </c>
      <c r="I41" s="98">
        <f t="shared" si="0"/>
        <v>80750</v>
      </c>
      <c r="J41" s="103">
        <f>IF(I41=0,0,I41/'Business Structure'!$C$9)</f>
        <v>40375</v>
      </c>
    </row>
    <row r="42" spans="2:10" x14ac:dyDescent="0.3">
      <c r="B42" s="46"/>
      <c r="C42" s="98">
        <v>335000</v>
      </c>
      <c r="D42" s="98">
        <v>10000000</v>
      </c>
      <c r="E42" s="101">
        <v>113900</v>
      </c>
      <c r="F42" s="66" t="s">
        <v>75</v>
      </c>
      <c r="G42" s="65">
        <v>0.34</v>
      </c>
      <c r="H42" s="98">
        <v>335000</v>
      </c>
      <c r="I42" s="98">
        <f t="shared" si="0"/>
        <v>0</v>
      </c>
      <c r="J42" s="103">
        <f>IF(I42=0,0,I42/'Business Structure'!$C$9)</f>
        <v>0</v>
      </c>
    </row>
    <row r="43" spans="2:10" x14ac:dyDescent="0.3">
      <c r="B43" s="46"/>
      <c r="C43" s="98">
        <v>10000000</v>
      </c>
      <c r="D43" s="98">
        <v>15000000</v>
      </c>
      <c r="E43" s="101">
        <v>3400000</v>
      </c>
      <c r="F43" s="66" t="s">
        <v>75</v>
      </c>
      <c r="G43" s="65">
        <v>0.35</v>
      </c>
      <c r="H43" s="98">
        <v>10000000</v>
      </c>
      <c r="I43" s="98">
        <f t="shared" si="0"/>
        <v>0</v>
      </c>
      <c r="J43" s="103">
        <f>IF(I43=0,0,I43/'Business Structure'!$C$9)</f>
        <v>0</v>
      </c>
    </row>
    <row r="44" spans="2:10" x14ac:dyDescent="0.3">
      <c r="B44" s="46"/>
      <c r="C44" s="98">
        <v>15000000</v>
      </c>
      <c r="D44" s="98">
        <v>18333333</v>
      </c>
      <c r="E44" s="101">
        <v>5159000</v>
      </c>
      <c r="F44" s="66" t="s">
        <v>75</v>
      </c>
      <c r="G44" s="65">
        <v>0.38</v>
      </c>
      <c r="H44" s="98">
        <v>15000000</v>
      </c>
      <c r="I44" s="98">
        <f t="shared" si="0"/>
        <v>0</v>
      </c>
      <c r="J44" s="103">
        <f>IF(I44=0,0,I44/'Business Structure'!$C$9)</f>
        <v>0</v>
      </c>
    </row>
    <row r="45" spans="2:10" ht="15.75" thickBot="1" x14ac:dyDescent="0.35">
      <c r="B45" s="47"/>
      <c r="C45" s="99">
        <v>18333333</v>
      </c>
      <c r="D45" s="100" t="s">
        <v>76</v>
      </c>
      <c r="E45" s="102"/>
      <c r="F45" s="67"/>
      <c r="G45" s="68">
        <v>0.35</v>
      </c>
      <c r="H45" s="99">
        <v>0</v>
      </c>
      <c r="I45" s="99">
        <f>IF(Net_income_for_business&gt;$C$45, Net_income_for_business*$G$45, 0)</f>
        <v>0</v>
      </c>
      <c r="J45" s="104">
        <f>IF(I45=0,0,I45/'Business Structure'!$C$9)</f>
        <v>0</v>
      </c>
    </row>
    <row r="46" spans="2:10" x14ac:dyDescent="0.3">
      <c r="B46" s="74" t="s">
        <v>77</v>
      </c>
      <c r="C46" s="74"/>
      <c r="D46" s="74"/>
      <c r="E46" s="74"/>
      <c r="F46" s="74"/>
      <c r="G46" s="74"/>
      <c r="H46" s="75"/>
      <c r="I46" s="105">
        <f>SUM(I38:I45)</f>
        <v>80750</v>
      </c>
      <c r="J46" s="105">
        <f>SUM(J38:J45)</f>
        <v>40375</v>
      </c>
    </row>
  </sheetData>
  <mergeCells count="32">
    <mergeCell ref="B17:C17"/>
    <mergeCell ref="B21:C21"/>
    <mergeCell ref="E21:F21"/>
    <mergeCell ref="G21:H21"/>
    <mergeCell ref="B22:C22"/>
    <mergeCell ref="E22:F22"/>
    <mergeCell ref="G22:H22"/>
    <mergeCell ref="B23:C23"/>
    <mergeCell ref="E23:F23"/>
    <mergeCell ref="G23:H23"/>
    <mergeCell ref="B24:C24"/>
    <mergeCell ref="E24:F24"/>
    <mergeCell ref="G24:H24"/>
    <mergeCell ref="B25:C25"/>
    <mergeCell ref="E25:F25"/>
    <mergeCell ref="G25:H25"/>
    <mergeCell ref="B26:C26"/>
    <mergeCell ref="E26:F26"/>
    <mergeCell ref="G26:H26"/>
    <mergeCell ref="B27:C27"/>
    <mergeCell ref="E27:F27"/>
    <mergeCell ref="G27:H27"/>
    <mergeCell ref="B28:C28"/>
    <mergeCell ref="E28:F28"/>
    <mergeCell ref="G28:H28"/>
    <mergeCell ref="B46:H46"/>
    <mergeCell ref="B29:C29"/>
    <mergeCell ref="E29:F29"/>
    <mergeCell ref="G29:H29"/>
    <mergeCell ref="B31:C31"/>
    <mergeCell ref="B36:J36"/>
    <mergeCell ref="E37:G37"/>
  </mergeCells>
  <conditionalFormatting sqref="D22:I29 C38:J45 I46:J46 C32:C34">
    <cfRule type="expression" dxfId="0" priority="1">
      <formula>_xlfn.ISFORMULA(C22)</formula>
    </cfRule>
  </conditionalFormatting>
  <printOptions horizontalCentered="1"/>
  <pageMargins left="0.4" right="0.4" top="0.4" bottom="0.4" header="0.3" footer="0.3"/>
  <pageSetup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70C5176-4161-4E8B-8A40-C04A04242A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Business Structure</vt:lpstr>
      <vt:lpstr>Tax Calculations</vt:lpstr>
      <vt:lpstr>Individual_Income_Tax_Rates</vt:lpstr>
      <vt:lpstr>Net_income_for_business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2013-10-30T21:11:51Z</dcterms:created>
  <dcterms:modified xsi:type="dcterms:W3CDTF">2013-11-04T10:47:42Z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TC039869309991</vt:lpwstr>
  </property>
</Properties>
</file>